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回帰分析" sheetId="1" r:id="rId1"/>
    <sheet name="ヒストグラム（比較）" sheetId="2" r:id="rId2"/>
    <sheet name="2群比較" sheetId="3" r:id="rId3"/>
    <sheet name="回帰分析（記入例）" sheetId="4" r:id="rId4"/>
    <sheet name="ヒストグラム（記入例）" sheetId="5" r:id="rId5"/>
    <sheet name="2群比較（記入例）" sheetId="6" r:id="rId6"/>
  </sheets>
  <definedNames/>
  <calcPr fullCalcOnLoad="1"/>
</workbook>
</file>

<file path=xl/sharedStrings.xml><?xml version="1.0" encoding="utf-8"?>
<sst xmlns="http://schemas.openxmlformats.org/spreadsheetml/2006/main" count="235" uniqueCount="113">
  <si>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</si>
  <si>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</si>
  <si>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</si>
  <si>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</si>
  <si>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</si>
  <si>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</si>
  <si>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</si>
  <si>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</si>
  <si>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</si>
  <si>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</si>
  <si>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</si>
  <si>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</si>
  <si>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</si>
  <si>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</si>
  <si>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</si>
  <si>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c</t>
  </si>
  <si>
    <t>max</t>
  </si>
  <si>
    <t>にデータを入力して下さい。</t>
  </si>
  <si>
    <t>使い方１：</t>
  </si>
  <si>
    <t>使い方２：</t>
  </si>
  <si>
    <t>使い方３：</t>
  </si>
  <si>
    <t>に測定単位を入力して下さい。</t>
  </si>
  <si>
    <t>(スタージェスの公式）</t>
  </si>
  <si>
    <t>x</t>
  </si>
  <si>
    <t>y</t>
  </si>
  <si>
    <t>x^2</t>
  </si>
  <si>
    <t>y^2</t>
  </si>
  <si>
    <t>xy</t>
  </si>
  <si>
    <t>Sxx</t>
  </si>
  <si>
    <t>Syy</t>
  </si>
  <si>
    <t>Sxy</t>
  </si>
  <si>
    <t>ovx</t>
  </si>
  <si>
    <t>ovy</t>
  </si>
  <si>
    <t>a</t>
  </si>
  <si>
    <t>b</t>
  </si>
  <si>
    <t>n</t>
  </si>
  <si>
    <t>測定データ（ソフト）</t>
  </si>
  <si>
    <t>測定データ（ハード）</t>
  </si>
  <si>
    <t>に測定データ（ソフト）を入力して下さい。</t>
  </si>
  <si>
    <t>に測定データ（ハード）を入力して下さい。</t>
  </si>
  <si>
    <t>分子</t>
  </si>
  <si>
    <t>分母</t>
  </si>
  <si>
    <t>分母の√内</t>
  </si>
  <si>
    <t>限界値=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</si>
  <si>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</si>
  <si>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</si>
  <si>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</si>
  <si>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</si>
  <si>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</si>
  <si>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</si>
  <si>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</si>
  <si>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</si>
  <si>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</si>
  <si>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</si>
  <si>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</si>
  <si>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</si>
  <si>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</si>
  <si>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sx^2</t>
  </si>
  <si>
    <t>sy^2</t>
  </si>
  <si>
    <t>n1</t>
  </si>
  <si>
    <t>n2</t>
  </si>
  <si>
    <t>t0=</t>
  </si>
  <si>
    <t>予測値</t>
  </si>
  <si>
    <t>実測値y</t>
  </si>
  <si>
    <t>（利用せず）</t>
  </si>
  <si>
    <t>|t0|=</t>
  </si>
  <si>
    <t>このとき、帰無仮説（2群の母平均が等しい）を棄却して、</t>
  </si>
  <si>
    <t>（帰無仮説を棄却する時に、間違う確率が、有意水準で、</t>
  </si>
  <si>
    <t>（解説）</t>
  </si>
  <si>
    <t>（検定統計量）</t>
  </si>
  <si>
    <t>（基本統計量）</t>
  </si>
  <si>
    <t>である、とか、統計的に有意差がある、といいます。</t>
  </si>
  <si>
    <t>統計量の絶対値が、限界値より大きい時、統計的に有意</t>
  </si>
  <si>
    <t>対立仮説（母平均が異なる）が正しいと判断します。</t>
  </si>
  <si>
    <t>標準偏差SD</t>
  </si>
  <si>
    <t>平均ovx</t>
  </si>
  <si>
    <t>SD^2=</t>
  </si>
  <si>
    <t>ここでは、５％に設定されています。理由は後日。）</t>
  </si>
  <si>
    <t>sample No.</t>
  </si>
  <si>
    <t>|t0|=</t>
  </si>
  <si>
    <t>SD^2=</t>
  </si>
  <si>
    <t>a</t>
  </si>
  <si>
    <t>b</t>
  </si>
  <si>
    <t>Sxx</t>
  </si>
  <si>
    <t>Syy</t>
  </si>
  <si>
    <t>Sxy</t>
  </si>
  <si>
    <t>ovx</t>
  </si>
  <si>
    <t>ovy</t>
  </si>
  <si>
    <t>sample No.</t>
  </si>
  <si>
    <r>
      <t>は、「</t>
    </r>
    <r>
      <rPr>
        <sz val="11"/>
        <color indexed="10"/>
        <rFont val="ＭＳ 明朝"/>
        <family val="1"/>
      </rPr>
      <t>ヒストグラム（記入例）</t>
    </r>
    <r>
      <rPr>
        <sz val="11"/>
        <rFont val="ＭＳ 明朝"/>
        <family val="1"/>
      </rPr>
      <t>」のシートにデータを入力すると自動的に計算されます。</t>
    </r>
  </si>
  <si>
    <r>
      <t>は、「</t>
    </r>
    <r>
      <rPr>
        <sz val="11"/>
        <color indexed="10"/>
        <rFont val="ＭＳ 明朝"/>
        <family val="1"/>
      </rPr>
      <t>ヒストグラム（比較）</t>
    </r>
    <r>
      <rPr>
        <sz val="11"/>
        <rFont val="ＭＳ 明朝"/>
        <family val="1"/>
      </rPr>
      <t>」のシートにデータを入力すると自動的に計算されます。</t>
    </r>
  </si>
  <si>
    <t>注意１：</t>
  </si>
  <si>
    <t>（判定）</t>
  </si>
  <si>
    <t>分散比の検定</t>
  </si>
  <si>
    <t>自由度1</t>
  </si>
  <si>
    <t>自由度2</t>
  </si>
  <si>
    <t>不偏分散1</t>
  </si>
  <si>
    <t>不偏分散2</t>
  </si>
  <si>
    <t>F0=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</si>
  <si>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</si>
  <si>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</si>
  <si>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</si>
  <si>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</si>
  <si>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</si>
  <si>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</si>
  <si>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</si>
  <si>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</si>
  <si>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</si>
  <si>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</si>
  <si>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F0=</t>
  </si>
  <si>
    <t>ovy</t>
  </si>
  <si>
    <t>a</t>
  </si>
  <si>
    <t>5/20版は、分散比検定も可能です！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</si>
</sst>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回帰分析!#REF!</c:f>
              <c:numCache>
                <c:ptCount val="1"/>
                <c:pt idx="0">
                  <c:v>1</c:v>
                </c:pt>
              </c:numCache>
            </c:numRef>
          </c:val>
        </c:ser>
        <c:axId val="50293791"/>
        <c:axId val="49990936"/>
      </c:bar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2群比較（記入例）!#REF!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2群比較（記入例）!#REF!</c:f>
              <c:numCache>
                <c:ptCount val="1"/>
                <c:pt idx="0">
                  <c:v>0</c:v>
                </c:pt>
              </c:numCache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'回帰分析'!$M$4:$M$23</c:f>
              <c:numCache/>
            </c:numRef>
          </c:yVal>
          <c:smooth val="1"/>
        </c:ser>
        <c:axId val="47265241"/>
        <c:axId val="22733986"/>
      </c:scatterChart>
      <c:valAx>
        <c:axId val="4726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crossBetween val="midCat"/>
        <c:dispUnits/>
      </c:val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'ヒストグラム（比較）'!$L$10:$L$29</c:f>
              <c:numCache/>
            </c:numRef>
          </c:cat>
          <c:val>
            <c:numRef>
              <c:f>'ヒストグラム（比較）'!$M$10:$M$29</c:f>
              <c:numCache/>
            </c:numRef>
          </c:val>
        </c:ser>
        <c:axId val="3279283"/>
        <c:axId val="29513548"/>
      </c:barChart>
      <c:catAx>
        <c:axId val="32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'ヒストグラム（比較）'!$L$40:$L$59</c:f>
              <c:numCache/>
            </c:numRef>
          </c:cat>
          <c:val>
            <c:numRef>
              <c:f>'ヒストグラム（比較）'!$M$40:$M$59</c:f>
              <c:numCache/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2群比較!#REF!</c:f>
              <c:numCache>
                <c:ptCount val="1"/>
                <c:pt idx="0">
                  <c:v>1</c:v>
                </c:pt>
              </c:numCache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回帰分析（記入例）!#REF!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回帰分析（記入例）!#REF!</c:f>
              <c:numCache>
                <c:ptCount val="1"/>
                <c:pt idx="0">
                  <c:v>1</c:v>
                </c:pt>
              </c:numCache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'回帰分析（記入例）'!$L$3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'回帰分析（記入例）'!$M$3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'回帰分析（記入例）'!$M$4:$M$23</c:f>
              <c:numCache/>
            </c:numRef>
          </c:yVal>
          <c:smooth val="1"/>
        </c:ser>
        <c:axId val="31188571"/>
        <c:axId val="12261684"/>
      </c:scatterChart>
      <c:valAx>
        <c:axId val="31188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61684"/>
        <c:crosses val="autoZero"/>
        <c:crossBetween val="midCat"/>
        <c:dispUnits/>
      </c:val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'ヒストグラム（記入例）'!$L$10:$L$29</c:f>
              <c:numCache/>
            </c:numRef>
          </c:cat>
          <c:val>
            <c:numRef>
              <c:f>'ヒストグラム（記入例）'!$M$10:$M$29</c:f>
              <c:numCache/>
            </c:numRef>
          </c:val>
        </c:ser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'ヒストグラム（記入例）'!$L$40:$L$59</c:f>
              <c:numCache/>
            </c:numRef>
          </c:cat>
          <c:val>
            <c:numRef>
              <c:f>'ヒストグラム（記入例）'!$M$40:$M$59</c:f>
              <c:numCache/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862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H3" t="s">
        <v>35</v>
      </c>
      <c r="I3">
        <f>COUNTIF(B4:B23,"&gt;0")</f>
        <v>0</v>
      </c>
      <c r="K3" t="str">
        <f>B3</f>
        <v>x</v>
      </c>
      <c r="L3" t="s">
        <v>63</v>
      </c>
      <c r="M3" t="s">
        <v>62</v>
      </c>
      <c r="N3" t="s">
        <v>33</v>
      </c>
      <c r="O3" t="s">
        <v>34</v>
      </c>
    </row>
    <row r="4" spans="1:15" ht="13.5">
      <c r="A4" s="14">
        <v>1</v>
      </c>
      <c r="B4" s="7"/>
      <c r="C4" s="7"/>
      <c r="D4" s="14">
        <f>B4^2</f>
        <v>0</v>
      </c>
      <c r="E4" s="14">
        <f>C4^2</f>
        <v>0</v>
      </c>
      <c r="F4" s="14">
        <f>B4*C4</f>
        <v>0</v>
      </c>
      <c r="H4" t="s">
        <v>28</v>
      </c>
      <c r="I4">
        <f>IF(I3=0,"",D24-B24^2/I3)</f>
      </c>
      <c r="K4">
        <f aca="true" t="shared" si="0" ref="K4:K23">B4</f>
        <v>0</v>
      </c>
      <c r="L4">
        <f aca="true" t="shared" si="1" ref="L4:L23">C4</f>
        <v>0</v>
      </c>
      <c r="M4">
        <f>IF(N4="","",N4*K4+O4)</f>
      </c>
      <c r="N4">
        <f>I9</f>
      </c>
      <c r="O4">
        <f>I10</f>
      </c>
    </row>
    <row r="5" spans="1:15" ht="13.5">
      <c r="A5" s="14">
        <f>A4+1</f>
        <v>2</v>
      </c>
      <c r="B5" s="7"/>
      <c r="C5" s="7"/>
      <c r="D5" s="14">
        <f aca="true" t="shared" si="2" ref="D5:D23">B5^2</f>
        <v>0</v>
      </c>
      <c r="E5" s="14">
        <f aca="true" t="shared" si="3" ref="E5:E23">C5^2</f>
        <v>0</v>
      </c>
      <c r="F5" s="14">
        <f aca="true" t="shared" si="4" ref="F5:F23">B5*C5</f>
        <v>0</v>
      </c>
      <c r="H5" t="s">
        <v>29</v>
      </c>
      <c r="I5">
        <f>IF(I3=0,"",E24-C24^2/I3)</f>
      </c>
      <c r="K5">
        <f t="shared" si="0"/>
        <v>0</v>
      </c>
      <c r="L5">
        <f t="shared" si="1"/>
        <v>0</v>
      </c>
      <c r="M5">
        <f aca="true" t="shared" si="5" ref="M5:M23">IF(N5="","",N5*K5+O5)</f>
      </c>
      <c r="N5">
        <f>N4</f>
      </c>
      <c r="O5">
        <f aca="true" t="shared" si="6" ref="O5:O23">O4</f>
      </c>
    </row>
    <row r="6" spans="1:15" ht="13.5">
      <c r="A6" s="14">
        <f aca="true" t="shared" si="7" ref="A6:A23">A5+1</f>
        <v>3</v>
      </c>
      <c r="B6" s="7"/>
      <c r="C6" s="7"/>
      <c r="D6" s="14">
        <f t="shared" si="2"/>
        <v>0</v>
      </c>
      <c r="E6" s="14">
        <f t="shared" si="3"/>
        <v>0</v>
      </c>
      <c r="F6" s="14">
        <f t="shared" si="4"/>
        <v>0</v>
      </c>
      <c r="H6" t="s">
        <v>30</v>
      </c>
      <c r="I6">
        <f>IF(I3=0,"",F24-B24*C24/I3)</f>
      </c>
      <c r="K6">
        <f t="shared" si="0"/>
        <v>0</v>
      </c>
      <c r="L6">
        <f t="shared" si="1"/>
        <v>0</v>
      </c>
      <c r="M6">
        <f t="shared" si="5"/>
      </c>
      <c r="N6">
        <f aca="true" t="shared" si="8" ref="N6:N23">N5</f>
      </c>
      <c r="O6">
        <f t="shared" si="6"/>
      </c>
    </row>
    <row r="7" spans="1:15" ht="13.5">
      <c r="A7" s="14">
        <f t="shared" si="7"/>
        <v>4</v>
      </c>
      <c r="B7" s="7"/>
      <c r="C7" s="7"/>
      <c r="D7" s="14">
        <f t="shared" si="2"/>
        <v>0</v>
      </c>
      <c r="E7" s="14">
        <f t="shared" si="3"/>
        <v>0</v>
      </c>
      <c r="F7" s="14">
        <f t="shared" si="4"/>
        <v>0</v>
      </c>
      <c r="H7" t="s">
        <v>31</v>
      </c>
      <c r="I7">
        <f>IF(I3=0,"",B24/I3)</f>
      </c>
      <c r="K7">
        <f t="shared" si="0"/>
        <v>0</v>
      </c>
      <c r="L7">
        <f t="shared" si="1"/>
        <v>0</v>
      </c>
      <c r="M7">
        <f t="shared" si="5"/>
      </c>
      <c r="N7">
        <f t="shared" si="8"/>
      </c>
      <c r="O7">
        <f t="shared" si="6"/>
      </c>
    </row>
    <row r="8" spans="1:15" ht="13.5">
      <c r="A8" s="14">
        <f t="shared" si="7"/>
        <v>5</v>
      </c>
      <c r="B8" s="7"/>
      <c r="C8" s="7"/>
      <c r="D8" s="14">
        <f t="shared" si="2"/>
        <v>0</v>
      </c>
      <c r="E8" s="14">
        <f t="shared" si="3"/>
        <v>0</v>
      </c>
      <c r="F8" s="14">
        <f t="shared" si="4"/>
        <v>0</v>
      </c>
      <c r="H8" t="s">
        <v>32</v>
      </c>
      <c r="I8">
        <f>IF(I3=0,"",C24/I3)</f>
      </c>
      <c r="K8">
        <f t="shared" si="0"/>
        <v>0</v>
      </c>
      <c r="L8">
        <f t="shared" si="1"/>
        <v>0</v>
      </c>
      <c r="M8">
        <f t="shared" si="5"/>
      </c>
      <c r="N8">
        <f t="shared" si="8"/>
      </c>
      <c r="O8">
        <f t="shared" si="6"/>
      </c>
    </row>
    <row r="9" spans="1:15" ht="13.5">
      <c r="A9" s="14">
        <f t="shared" si="7"/>
        <v>6</v>
      </c>
      <c r="B9" s="7"/>
      <c r="C9" s="7"/>
      <c r="D9" s="14">
        <f t="shared" si="2"/>
        <v>0</v>
      </c>
      <c r="E9" s="14">
        <f t="shared" si="3"/>
        <v>0</v>
      </c>
      <c r="F9" s="14">
        <f t="shared" si="4"/>
        <v>0</v>
      </c>
      <c r="H9" t="s">
        <v>33</v>
      </c>
      <c r="I9">
        <f>IF(I4="","",I6/I4)</f>
      </c>
      <c r="K9">
        <f t="shared" si="0"/>
        <v>0</v>
      </c>
      <c r="L9">
        <f t="shared" si="1"/>
        <v>0</v>
      </c>
      <c r="M9">
        <f t="shared" si="5"/>
      </c>
      <c r="N9">
        <f t="shared" si="8"/>
      </c>
      <c r="O9">
        <f t="shared" si="6"/>
      </c>
    </row>
    <row r="10" spans="1:15" ht="13.5">
      <c r="A10" s="14">
        <f t="shared" si="7"/>
        <v>7</v>
      </c>
      <c r="B10" s="7"/>
      <c r="C10" s="7"/>
      <c r="D10" s="14">
        <f t="shared" si="2"/>
        <v>0</v>
      </c>
      <c r="E10" s="14">
        <f t="shared" si="3"/>
        <v>0</v>
      </c>
      <c r="F10" s="14">
        <f t="shared" si="4"/>
        <v>0</v>
      </c>
      <c r="H10" t="s">
        <v>34</v>
      </c>
      <c r="I10">
        <f>IF(I8="","",I8-I9*I7)</f>
      </c>
      <c r="K10">
        <f t="shared" si="0"/>
        <v>0</v>
      </c>
      <c r="L10">
        <f t="shared" si="1"/>
        <v>0</v>
      </c>
      <c r="M10">
        <f t="shared" si="5"/>
      </c>
      <c r="N10">
        <f t="shared" si="8"/>
      </c>
      <c r="O10">
        <f t="shared" si="6"/>
      </c>
    </row>
    <row r="11" spans="1:15" ht="13.5">
      <c r="A11" s="14">
        <f t="shared" si="7"/>
        <v>8</v>
      </c>
      <c r="B11" s="7"/>
      <c r="C11" s="7"/>
      <c r="D11" s="14">
        <f t="shared" si="2"/>
        <v>0</v>
      </c>
      <c r="E11" s="14">
        <f t="shared" si="3"/>
        <v>0</v>
      </c>
      <c r="F11" s="14">
        <f t="shared" si="4"/>
        <v>0</v>
      </c>
      <c r="K11">
        <f t="shared" si="0"/>
        <v>0</v>
      </c>
      <c r="L11">
        <f t="shared" si="1"/>
        <v>0</v>
      </c>
      <c r="M11">
        <f t="shared" si="5"/>
      </c>
      <c r="N11">
        <f t="shared" si="8"/>
      </c>
      <c r="O11">
        <f t="shared" si="6"/>
      </c>
    </row>
    <row r="12" spans="1:15" ht="13.5">
      <c r="A12" s="14">
        <f t="shared" si="7"/>
        <v>9</v>
      </c>
      <c r="B12" s="7"/>
      <c r="C12" s="7"/>
      <c r="D12" s="14">
        <f t="shared" si="2"/>
        <v>0</v>
      </c>
      <c r="E12" s="14">
        <f t="shared" si="3"/>
        <v>0</v>
      </c>
      <c r="F12" s="14">
        <f t="shared" si="4"/>
        <v>0</v>
      </c>
      <c r="K12">
        <f t="shared" si="0"/>
        <v>0</v>
      </c>
      <c r="L12">
        <f t="shared" si="1"/>
        <v>0</v>
      </c>
      <c r="M12">
        <f t="shared" si="5"/>
      </c>
      <c r="N12">
        <f t="shared" si="8"/>
      </c>
      <c r="O12">
        <f t="shared" si="6"/>
      </c>
    </row>
    <row r="13" spans="1:15" ht="13.5">
      <c r="A13" s="14">
        <f t="shared" si="7"/>
        <v>10</v>
      </c>
      <c r="B13" s="7"/>
      <c r="C13" s="7"/>
      <c r="D13" s="14">
        <f t="shared" si="2"/>
        <v>0</v>
      </c>
      <c r="E13" s="14">
        <f t="shared" si="3"/>
        <v>0</v>
      </c>
      <c r="F13" s="14">
        <f t="shared" si="4"/>
        <v>0</v>
      </c>
      <c r="K13">
        <f t="shared" si="0"/>
        <v>0</v>
      </c>
      <c r="L13">
        <f t="shared" si="1"/>
        <v>0</v>
      </c>
      <c r="M13">
        <f t="shared" si="5"/>
      </c>
      <c r="N13">
        <f t="shared" si="8"/>
      </c>
      <c r="O13">
        <f t="shared" si="6"/>
      </c>
    </row>
    <row r="14" spans="1:15" ht="13.5">
      <c r="A14" s="14">
        <f t="shared" si="7"/>
        <v>11</v>
      </c>
      <c r="B14" s="7"/>
      <c r="C14" s="7"/>
      <c r="D14" s="14">
        <f t="shared" si="2"/>
        <v>0</v>
      </c>
      <c r="E14" s="14">
        <f t="shared" si="3"/>
        <v>0</v>
      </c>
      <c r="F14" s="14">
        <f t="shared" si="4"/>
        <v>0</v>
      </c>
      <c r="K14">
        <f t="shared" si="0"/>
        <v>0</v>
      </c>
      <c r="L14">
        <f t="shared" si="1"/>
        <v>0</v>
      </c>
      <c r="M14">
        <f t="shared" si="5"/>
      </c>
      <c r="N14">
        <f t="shared" si="8"/>
      </c>
      <c r="O14">
        <f t="shared" si="6"/>
      </c>
    </row>
    <row r="15" spans="1:15" ht="13.5">
      <c r="A15" s="14">
        <f t="shared" si="7"/>
        <v>12</v>
      </c>
      <c r="B15" s="7"/>
      <c r="C15" s="7"/>
      <c r="D15" s="14">
        <f t="shared" si="2"/>
        <v>0</v>
      </c>
      <c r="E15" s="14">
        <f t="shared" si="3"/>
        <v>0</v>
      </c>
      <c r="F15" s="14">
        <f t="shared" si="4"/>
        <v>0</v>
      </c>
      <c r="K15">
        <f t="shared" si="0"/>
        <v>0</v>
      </c>
      <c r="L15">
        <f t="shared" si="1"/>
        <v>0</v>
      </c>
      <c r="M15">
        <f t="shared" si="5"/>
      </c>
      <c r="N15">
        <f t="shared" si="8"/>
      </c>
      <c r="O15">
        <f t="shared" si="6"/>
      </c>
    </row>
    <row r="16" spans="1:15" ht="13.5">
      <c r="A16" s="14">
        <f t="shared" si="7"/>
        <v>13</v>
      </c>
      <c r="B16" s="7"/>
      <c r="C16" s="7"/>
      <c r="D16" s="14">
        <f t="shared" si="2"/>
        <v>0</v>
      </c>
      <c r="E16" s="14">
        <f t="shared" si="3"/>
        <v>0</v>
      </c>
      <c r="F16" s="14">
        <f t="shared" si="4"/>
        <v>0</v>
      </c>
      <c r="K16">
        <f t="shared" si="0"/>
        <v>0</v>
      </c>
      <c r="L16">
        <f t="shared" si="1"/>
        <v>0</v>
      </c>
      <c r="M16">
        <f t="shared" si="5"/>
      </c>
      <c r="N16">
        <f t="shared" si="8"/>
      </c>
      <c r="O16">
        <f t="shared" si="6"/>
      </c>
    </row>
    <row r="17" spans="1:15" ht="13.5">
      <c r="A17" s="14">
        <f t="shared" si="7"/>
        <v>14</v>
      </c>
      <c r="B17" s="7"/>
      <c r="C17" s="7"/>
      <c r="D17" s="14">
        <f t="shared" si="2"/>
        <v>0</v>
      </c>
      <c r="E17" s="14">
        <f t="shared" si="3"/>
        <v>0</v>
      </c>
      <c r="F17" s="14">
        <f t="shared" si="4"/>
        <v>0</v>
      </c>
      <c r="K17">
        <f t="shared" si="0"/>
        <v>0</v>
      </c>
      <c r="L17">
        <f t="shared" si="1"/>
        <v>0</v>
      </c>
      <c r="M17">
        <f t="shared" si="5"/>
      </c>
      <c r="N17">
        <f t="shared" si="8"/>
      </c>
      <c r="O17">
        <f t="shared" si="6"/>
      </c>
    </row>
    <row r="18" spans="1:15" ht="13.5">
      <c r="A18" s="14">
        <f t="shared" si="7"/>
        <v>15</v>
      </c>
      <c r="B18" s="7"/>
      <c r="C18" s="7"/>
      <c r="D18" s="14">
        <f t="shared" si="2"/>
        <v>0</v>
      </c>
      <c r="E18" s="14">
        <f t="shared" si="3"/>
        <v>0</v>
      </c>
      <c r="F18" s="14">
        <f t="shared" si="4"/>
        <v>0</v>
      </c>
      <c r="K18">
        <f t="shared" si="0"/>
        <v>0</v>
      </c>
      <c r="L18">
        <f t="shared" si="1"/>
        <v>0</v>
      </c>
      <c r="M18">
        <f t="shared" si="5"/>
      </c>
      <c r="N18">
        <f t="shared" si="8"/>
      </c>
      <c r="O18">
        <f t="shared" si="6"/>
      </c>
    </row>
    <row r="19" spans="1:15" ht="13.5">
      <c r="A19" s="14">
        <f t="shared" si="7"/>
        <v>16</v>
      </c>
      <c r="B19" s="7"/>
      <c r="C19" s="7"/>
      <c r="D19" s="14">
        <f t="shared" si="2"/>
        <v>0</v>
      </c>
      <c r="E19" s="14">
        <f t="shared" si="3"/>
        <v>0</v>
      </c>
      <c r="F19" s="14">
        <f t="shared" si="4"/>
        <v>0</v>
      </c>
      <c r="K19">
        <f t="shared" si="0"/>
        <v>0</v>
      </c>
      <c r="L19">
        <f t="shared" si="1"/>
        <v>0</v>
      </c>
      <c r="M19">
        <f t="shared" si="5"/>
      </c>
      <c r="N19">
        <f t="shared" si="8"/>
      </c>
      <c r="O19">
        <f t="shared" si="6"/>
      </c>
    </row>
    <row r="20" spans="1:15" ht="13.5">
      <c r="A20" s="14">
        <f t="shared" si="7"/>
        <v>17</v>
      </c>
      <c r="B20" s="7"/>
      <c r="C20" s="7"/>
      <c r="D20" s="14">
        <f t="shared" si="2"/>
        <v>0</v>
      </c>
      <c r="E20" s="14">
        <f t="shared" si="3"/>
        <v>0</v>
      </c>
      <c r="F20" s="14">
        <f t="shared" si="4"/>
        <v>0</v>
      </c>
      <c r="K20">
        <f t="shared" si="0"/>
        <v>0</v>
      </c>
      <c r="L20">
        <f t="shared" si="1"/>
        <v>0</v>
      </c>
      <c r="M20">
        <f t="shared" si="5"/>
      </c>
      <c r="N20">
        <f t="shared" si="8"/>
      </c>
      <c r="O20">
        <f t="shared" si="6"/>
      </c>
    </row>
    <row r="21" spans="1:15" ht="13.5">
      <c r="A21" s="14">
        <f t="shared" si="7"/>
        <v>18</v>
      </c>
      <c r="B21" s="7"/>
      <c r="C21" s="7"/>
      <c r="D21" s="14">
        <f t="shared" si="2"/>
        <v>0</v>
      </c>
      <c r="E21" s="14">
        <f t="shared" si="3"/>
        <v>0</v>
      </c>
      <c r="F21" s="14">
        <f t="shared" si="4"/>
        <v>0</v>
      </c>
      <c r="K21">
        <f t="shared" si="0"/>
        <v>0</v>
      </c>
      <c r="L21">
        <f t="shared" si="1"/>
        <v>0</v>
      </c>
      <c r="M21">
        <f t="shared" si="5"/>
      </c>
      <c r="N21">
        <f t="shared" si="8"/>
      </c>
      <c r="O21">
        <f t="shared" si="6"/>
      </c>
    </row>
    <row r="22" spans="1:15" ht="13.5">
      <c r="A22" s="14">
        <f t="shared" si="7"/>
        <v>19</v>
      </c>
      <c r="B22" s="7"/>
      <c r="C22" s="7"/>
      <c r="D22" s="14">
        <f t="shared" si="2"/>
        <v>0</v>
      </c>
      <c r="E22" s="14">
        <f t="shared" si="3"/>
        <v>0</v>
      </c>
      <c r="F22" s="14">
        <f t="shared" si="4"/>
        <v>0</v>
      </c>
      <c r="K22">
        <f t="shared" si="0"/>
        <v>0</v>
      </c>
      <c r="L22">
        <f t="shared" si="1"/>
        <v>0</v>
      </c>
      <c r="M22">
        <f t="shared" si="5"/>
      </c>
      <c r="N22">
        <f t="shared" si="8"/>
      </c>
      <c r="O22">
        <f t="shared" si="6"/>
      </c>
    </row>
    <row r="23" spans="1:15" ht="13.5">
      <c r="A23" s="14">
        <f t="shared" si="7"/>
        <v>20</v>
      </c>
      <c r="B23" s="7"/>
      <c r="C23" s="7"/>
      <c r="D23" s="14">
        <f t="shared" si="2"/>
        <v>0</v>
      </c>
      <c r="E23" s="14">
        <f t="shared" si="3"/>
        <v>0</v>
      </c>
      <c r="F23" s="14">
        <f t="shared" si="4"/>
        <v>0</v>
      </c>
      <c r="K23">
        <f t="shared" si="0"/>
        <v>0</v>
      </c>
      <c r="L23">
        <f t="shared" si="1"/>
        <v>0</v>
      </c>
      <c r="M23">
        <f t="shared" si="5"/>
      </c>
      <c r="N23">
        <f t="shared" si="8"/>
      </c>
      <c r="O23">
        <f t="shared" si="6"/>
      </c>
    </row>
    <row r="24" spans="1:6" ht="13.5">
      <c r="A24" s="14" t="s">
        <v>13</v>
      </c>
      <c r="B24" s="14">
        <f>SUM(B4:B23)</f>
        <v>0</v>
      </c>
      <c r="C24" s="14">
        <f>SUM(C4:C23)</f>
        <v>0</v>
      </c>
      <c r="D24" s="14">
        <f>SUM(D4:D23)</f>
        <v>0</v>
      </c>
      <c r="E24" s="14">
        <f>SUM(E4:E23)</f>
        <v>0</v>
      </c>
      <c r="F24" s="14">
        <f>SUM(F4:F23)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0</v>
      </c>
      <c r="K4" t="s">
        <v>7</v>
      </c>
      <c r="L4">
        <f>MAX(MAX(B6:B35),MAX(D6:D35))</f>
        <v>0</v>
      </c>
    </row>
    <row r="5" spans="1:10" ht="13.5">
      <c r="A5" s="2" t="s">
        <v>78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/>
      <c r="C6" s="2">
        <f>IF(F6="","",ROUNDDOWN((B6-G6+0.25)/F6+1,0))</f>
      </c>
      <c r="D6" s="17"/>
      <c r="E6" s="2">
        <f>IF(F6="","",ROUNDDOWN((D6-G6+0.25)/F6+1,0))</f>
      </c>
      <c r="F6" s="2">
        <f>J7</f>
      </c>
      <c r="G6" s="2">
        <f>J4</f>
        <v>0</v>
      </c>
      <c r="I6" t="s">
        <v>10</v>
      </c>
      <c r="K6" t="s">
        <v>5</v>
      </c>
      <c r="L6">
        <f>SQRT(J3)</f>
        <v>0</v>
      </c>
      <c r="M6" s="13">
        <f>IF(J3&gt;0,LOG(J3,2)+1,"")</f>
      </c>
      <c r="N6" t="s">
        <v>22</v>
      </c>
    </row>
    <row r="7" spans="1:12" ht="13.5">
      <c r="A7" s="2">
        <v>2</v>
      </c>
      <c r="B7" s="9"/>
      <c r="C7" s="2">
        <f aca="true" t="shared" si="0" ref="C7:C35">IF(F7="","",ROUNDDOWN((B7-G7+0.25)/F7+1,0))</f>
      </c>
      <c r="D7" s="17"/>
      <c r="E7" s="2">
        <f aca="true" t="shared" si="1" ref="E7:E35">IF(F7="","",ROUNDDOWN((D7-G7+0.25)/F7+1,0))</f>
      </c>
      <c r="F7" s="2">
        <f aca="true" t="shared" si="2" ref="F7:F35">F6</f>
      </c>
      <c r="G7" s="2">
        <f aca="true" t="shared" si="3" ref="G7:G35">G6</f>
        <v>0</v>
      </c>
      <c r="I7" t="s">
        <v>8</v>
      </c>
      <c r="J7">
        <f>IF(J3&gt;0,ROUND(L7/J5,0)*J5,"")</f>
      </c>
      <c r="K7" t="s">
        <v>9</v>
      </c>
      <c r="L7">
        <f>IF(L6&gt;0,(L4-J4)/L6,"")</f>
      </c>
    </row>
    <row r="8" spans="1:7" ht="13.5">
      <c r="A8" s="2">
        <v>3</v>
      </c>
      <c r="B8" s="9"/>
      <c r="C8" s="2">
        <f t="shared" si="0"/>
      </c>
      <c r="D8" s="17"/>
      <c r="E8" s="2">
        <f t="shared" si="1"/>
      </c>
      <c r="F8" s="2">
        <f t="shared" si="2"/>
      </c>
      <c r="G8" s="2">
        <f t="shared" si="3"/>
        <v>0</v>
      </c>
    </row>
    <row r="9" spans="1:15" ht="13.5">
      <c r="A9" s="2">
        <v>4</v>
      </c>
      <c r="B9" s="9"/>
      <c r="C9" s="2">
        <f t="shared" si="0"/>
      </c>
      <c r="D9" s="17"/>
      <c r="E9" s="2">
        <f t="shared" si="1"/>
      </c>
      <c r="F9" s="2">
        <f t="shared" si="2"/>
      </c>
      <c r="G9" s="2">
        <f t="shared" si="3"/>
        <v>0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/>
      <c r="C10" s="2">
        <f t="shared" si="0"/>
      </c>
      <c r="D10" s="17"/>
      <c r="E10" s="2">
        <f t="shared" si="1"/>
      </c>
      <c r="F10" s="2">
        <f t="shared" si="2"/>
      </c>
      <c r="G10" s="2">
        <f t="shared" si="3"/>
        <v>0</v>
      </c>
      <c r="I10" s="6">
        <v>1</v>
      </c>
      <c r="J10" s="8">
        <f>J4-J5/2</f>
        <v>-0.25</v>
      </c>
      <c r="K10" s="8">
        <f>IF(N10="","",J10+N10)</f>
      </c>
      <c r="L10" s="8">
        <f>IF(N10="","",(J10+K10)/2)</f>
      </c>
      <c r="M10" s="8">
        <f>COUNTIF(C6:C35,"=1")</f>
        <v>0</v>
      </c>
      <c r="N10">
        <f>J7</f>
      </c>
      <c r="O10">
        <f>L4</f>
        <v>0</v>
      </c>
    </row>
    <row r="11" spans="1:15" ht="13.5">
      <c r="A11" s="2">
        <v>6</v>
      </c>
      <c r="B11" s="9"/>
      <c r="C11" s="2">
        <f t="shared" si="0"/>
      </c>
      <c r="D11" s="17"/>
      <c r="E11" s="2">
        <f t="shared" si="1"/>
      </c>
      <c r="F11" s="2">
        <f t="shared" si="2"/>
      </c>
      <c r="G11" s="2">
        <f t="shared" si="3"/>
        <v>0</v>
      </c>
      <c r="I11" s="4">
        <f aca="true" t="shared" si="4" ref="I11:I29">I10+1</f>
        <v>2</v>
      </c>
      <c r="J11" s="8">
        <f>IF(N11="","",IF(J10="","",IF(J10+N11&lt;O11,J10+N11,"")))</f>
      </c>
      <c r="K11" s="8">
        <f aca="true" t="shared" si="5" ref="K11:K29">IF(J11&lt;O11,J11+N11,"")</f>
      </c>
      <c r="L11" s="8">
        <f aca="true" t="shared" si="6" ref="L11:L29">IF(J11&lt;O11,J11+N11/2,"")</f>
      </c>
      <c r="M11" s="8">
        <f>COUNTIF(C6:C35,"=2")</f>
        <v>0</v>
      </c>
      <c r="N11">
        <f aca="true" t="shared" si="7" ref="N11:N29">N10</f>
      </c>
      <c r="O11">
        <f aca="true" t="shared" si="8" ref="O11:O29">O10</f>
        <v>0</v>
      </c>
    </row>
    <row r="12" spans="1:15" ht="13.5">
      <c r="A12" s="2">
        <v>7</v>
      </c>
      <c r="B12" s="9"/>
      <c r="C12" s="2">
        <f t="shared" si="0"/>
      </c>
      <c r="D12" s="17"/>
      <c r="E12" s="2">
        <f t="shared" si="1"/>
      </c>
      <c r="F12" s="2">
        <f t="shared" si="2"/>
      </c>
      <c r="G12" s="2">
        <f t="shared" si="3"/>
        <v>0</v>
      </c>
      <c r="I12" s="4">
        <f t="shared" si="4"/>
        <v>3</v>
      </c>
      <c r="J12" s="8">
        <f aca="true" t="shared" si="9" ref="J12:J29">IF(J11="","",IF(J11+N12&lt;O12,J11+N12,""))</f>
      </c>
      <c r="K12" s="8">
        <f t="shared" si="5"/>
      </c>
      <c r="L12" s="8">
        <f t="shared" si="6"/>
      </c>
      <c r="M12" s="8">
        <f>COUNTIF(C6:C35,"=3")</f>
        <v>0</v>
      </c>
      <c r="N12">
        <f t="shared" si="7"/>
      </c>
      <c r="O12">
        <f t="shared" si="8"/>
        <v>0</v>
      </c>
    </row>
    <row r="13" spans="1:15" ht="13.5">
      <c r="A13" s="2">
        <v>8</v>
      </c>
      <c r="B13" s="9"/>
      <c r="C13" s="2">
        <f t="shared" si="0"/>
      </c>
      <c r="D13" s="17"/>
      <c r="E13" s="2">
        <f t="shared" si="1"/>
      </c>
      <c r="F13" s="2">
        <f t="shared" si="2"/>
      </c>
      <c r="G13" s="2">
        <f t="shared" si="3"/>
        <v>0</v>
      </c>
      <c r="I13" s="4">
        <f t="shared" si="4"/>
        <v>4</v>
      </c>
      <c r="J13" s="8">
        <f t="shared" si="9"/>
      </c>
      <c r="K13" s="8">
        <f t="shared" si="5"/>
      </c>
      <c r="L13" s="8">
        <f t="shared" si="6"/>
      </c>
      <c r="M13" s="8">
        <f>COUNTIF(C6:C35,"=4")</f>
        <v>0</v>
      </c>
      <c r="N13">
        <f t="shared" si="7"/>
      </c>
      <c r="O13">
        <f t="shared" si="8"/>
        <v>0</v>
      </c>
    </row>
    <row r="14" spans="1:15" ht="13.5">
      <c r="A14" s="2">
        <v>9</v>
      </c>
      <c r="B14" s="9"/>
      <c r="C14" s="2">
        <f t="shared" si="0"/>
      </c>
      <c r="D14" s="17"/>
      <c r="E14" s="2">
        <f t="shared" si="1"/>
      </c>
      <c r="F14" s="2">
        <f t="shared" si="2"/>
      </c>
      <c r="G14" s="2">
        <f t="shared" si="3"/>
        <v>0</v>
      </c>
      <c r="I14" s="4">
        <f t="shared" si="4"/>
        <v>5</v>
      </c>
      <c r="J14" s="8">
        <f t="shared" si="9"/>
      </c>
      <c r="K14" s="8">
        <f t="shared" si="5"/>
      </c>
      <c r="L14" s="8">
        <f t="shared" si="6"/>
      </c>
      <c r="M14" s="8">
        <f>COUNTIF(C6:C35,"=5")</f>
        <v>0</v>
      </c>
      <c r="N14">
        <f t="shared" si="7"/>
      </c>
      <c r="O14">
        <f t="shared" si="8"/>
        <v>0</v>
      </c>
    </row>
    <row r="15" spans="1:15" ht="13.5">
      <c r="A15" s="2">
        <v>10</v>
      </c>
      <c r="B15" s="9"/>
      <c r="C15" s="2">
        <f t="shared" si="0"/>
      </c>
      <c r="D15" s="17"/>
      <c r="E15" s="2">
        <f t="shared" si="1"/>
      </c>
      <c r="F15" s="2">
        <f t="shared" si="2"/>
      </c>
      <c r="G15" s="2">
        <f t="shared" si="3"/>
        <v>0</v>
      </c>
      <c r="I15" s="4">
        <f t="shared" si="4"/>
        <v>6</v>
      </c>
      <c r="J15" s="8">
        <f t="shared" si="9"/>
      </c>
      <c r="K15" s="8">
        <f t="shared" si="5"/>
      </c>
      <c r="L15" s="8">
        <f t="shared" si="6"/>
      </c>
      <c r="M15" s="8">
        <f>COUNTIF(C6:C35,"=6")</f>
        <v>0</v>
      </c>
      <c r="N15">
        <f t="shared" si="7"/>
      </c>
      <c r="O15">
        <f t="shared" si="8"/>
        <v>0</v>
      </c>
    </row>
    <row r="16" spans="1:15" ht="13.5">
      <c r="A16" s="2">
        <v>11</v>
      </c>
      <c r="B16" s="9"/>
      <c r="C16" s="2">
        <f t="shared" si="0"/>
      </c>
      <c r="D16" s="17"/>
      <c r="E16" s="2">
        <f t="shared" si="1"/>
      </c>
      <c r="F16" s="2">
        <f t="shared" si="2"/>
      </c>
      <c r="G16" s="2">
        <f t="shared" si="3"/>
        <v>0</v>
      </c>
      <c r="I16" s="4">
        <f t="shared" si="4"/>
        <v>7</v>
      </c>
      <c r="J16" s="8">
        <f t="shared" si="9"/>
      </c>
      <c r="K16" s="8">
        <f t="shared" si="5"/>
      </c>
      <c r="L16" s="8">
        <f t="shared" si="6"/>
      </c>
      <c r="M16" s="8">
        <f>COUNTIF(C6:C35,"=7")</f>
        <v>0</v>
      </c>
      <c r="N16">
        <f t="shared" si="7"/>
      </c>
      <c r="O16">
        <f t="shared" si="8"/>
        <v>0</v>
      </c>
    </row>
    <row r="17" spans="1:15" ht="13.5">
      <c r="A17" s="2">
        <v>12</v>
      </c>
      <c r="B17" s="9"/>
      <c r="C17" s="2">
        <f t="shared" si="0"/>
      </c>
      <c r="D17" s="17"/>
      <c r="E17" s="2">
        <f t="shared" si="1"/>
      </c>
      <c r="F17" s="2">
        <f t="shared" si="2"/>
      </c>
      <c r="G17" s="2">
        <f t="shared" si="3"/>
        <v>0</v>
      </c>
      <c r="I17" s="4">
        <f t="shared" si="4"/>
        <v>8</v>
      </c>
      <c r="J17" s="8">
        <f t="shared" si="9"/>
      </c>
      <c r="K17" s="8">
        <f t="shared" si="5"/>
      </c>
      <c r="L17" s="8">
        <f t="shared" si="6"/>
      </c>
      <c r="M17" s="8">
        <f>COUNTIF(C6:C35,"=8")</f>
        <v>0</v>
      </c>
      <c r="N17">
        <f t="shared" si="7"/>
      </c>
      <c r="O17">
        <f t="shared" si="8"/>
        <v>0</v>
      </c>
    </row>
    <row r="18" spans="1:15" ht="13.5">
      <c r="A18" s="2">
        <v>13</v>
      </c>
      <c r="B18" s="9"/>
      <c r="C18" s="2">
        <f t="shared" si="0"/>
      </c>
      <c r="D18" s="17"/>
      <c r="E18" s="2">
        <f t="shared" si="1"/>
      </c>
      <c r="F18" s="2">
        <f t="shared" si="2"/>
      </c>
      <c r="G18" s="2">
        <f t="shared" si="3"/>
        <v>0</v>
      </c>
      <c r="I18" s="4">
        <f t="shared" si="4"/>
        <v>9</v>
      </c>
      <c r="J18" s="8">
        <f t="shared" si="9"/>
      </c>
      <c r="K18" s="8">
        <f t="shared" si="5"/>
      </c>
      <c r="L18" s="8">
        <f t="shared" si="6"/>
      </c>
      <c r="M18" s="8">
        <f>COUNTIF(C6:C35,"=9")</f>
        <v>0</v>
      </c>
      <c r="N18">
        <f t="shared" si="7"/>
      </c>
      <c r="O18">
        <f t="shared" si="8"/>
        <v>0</v>
      </c>
    </row>
    <row r="19" spans="1:15" ht="13.5">
      <c r="A19" s="2">
        <v>14</v>
      </c>
      <c r="B19" s="9"/>
      <c r="C19" s="2">
        <f t="shared" si="0"/>
      </c>
      <c r="D19" s="17"/>
      <c r="E19" s="2">
        <f t="shared" si="1"/>
      </c>
      <c r="F19" s="2">
        <f t="shared" si="2"/>
      </c>
      <c r="G19" s="2">
        <f t="shared" si="3"/>
        <v>0</v>
      </c>
      <c r="I19" s="4">
        <f t="shared" si="4"/>
        <v>10</v>
      </c>
      <c r="J19" s="8">
        <f t="shared" si="9"/>
      </c>
      <c r="K19" s="8">
        <f t="shared" si="5"/>
      </c>
      <c r="L19" s="8">
        <f t="shared" si="6"/>
      </c>
      <c r="M19" s="8">
        <f>COUNTIF(C6:C35,"=10")</f>
        <v>0</v>
      </c>
      <c r="N19">
        <f t="shared" si="7"/>
      </c>
      <c r="O19">
        <f t="shared" si="8"/>
        <v>0</v>
      </c>
    </row>
    <row r="20" spans="1:15" ht="13.5">
      <c r="A20" s="2">
        <v>15</v>
      </c>
      <c r="B20" s="9"/>
      <c r="C20" s="2">
        <f t="shared" si="0"/>
      </c>
      <c r="D20" s="17"/>
      <c r="E20" s="2">
        <f t="shared" si="1"/>
      </c>
      <c r="F20" s="2">
        <f t="shared" si="2"/>
      </c>
      <c r="G20" s="2">
        <f t="shared" si="3"/>
        <v>0</v>
      </c>
      <c r="I20" s="4">
        <f t="shared" si="4"/>
        <v>11</v>
      </c>
      <c r="J20" s="8">
        <f t="shared" si="9"/>
      </c>
      <c r="K20" s="8">
        <f t="shared" si="5"/>
      </c>
      <c r="L20" s="8">
        <f t="shared" si="6"/>
      </c>
      <c r="M20" s="8">
        <f>COUNTIF(C6:C35,"=11")</f>
        <v>0</v>
      </c>
      <c r="N20">
        <f t="shared" si="7"/>
      </c>
      <c r="O20">
        <f t="shared" si="8"/>
        <v>0</v>
      </c>
    </row>
    <row r="21" spans="1:15" ht="13.5">
      <c r="A21" s="2">
        <v>16</v>
      </c>
      <c r="B21" s="9"/>
      <c r="C21" s="2">
        <f t="shared" si="0"/>
      </c>
      <c r="D21" s="17"/>
      <c r="E21" s="2">
        <f t="shared" si="1"/>
      </c>
      <c r="F21" s="2">
        <f t="shared" si="2"/>
      </c>
      <c r="G21" s="2">
        <f t="shared" si="3"/>
        <v>0</v>
      </c>
      <c r="I21" s="4">
        <f t="shared" si="4"/>
        <v>12</v>
      </c>
      <c r="J21" s="8">
        <f t="shared" si="9"/>
      </c>
      <c r="K21" s="8">
        <f t="shared" si="5"/>
      </c>
      <c r="L21" s="8">
        <f t="shared" si="6"/>
      </c>
      <c r="M21" s="8">
        <f>COUNTIF(C6:C35,"=12")</f>
        <v>0</v>
      </c>
      <c r="N21">
        <f t="shared" si="7"/>
      </c>
      <c r="O21">
        <f t="shared" si="8"/>
        <v>0</v>
      </c>
    </row>
    <row r="22" spans="1:15" ht="13.5">
      <c r="A22" s="2">
        <v>17</v>
      </c>
      <c r="B22" s="9"/>
      <c r="C22" s="2">
        <f t="shared" si="0"/>
      </c>
      <c r="D22" s="17"/>
      <c r="E22" s="2">
        <f t="shared" si="1"/>
      </c>
      <c r="F22" s="2">
        <f t="shared" si="2"/>
      </c>
      <c r="G22" s="2">
        <f t="shared" si="3"/>
        <v>0</v>
      </c>
      <c r="I22" s="4">
        <f t="shared" si="4"/>
        <v>13</v>
      </c>
      <c r="J22" s="8">
        <f t="shared" si="9"/>
      </c>
      <c r="K22" s="8">
        <f t="shared" si="5"/>
      </c>
      <c r="L22" s="8">
        <f t="shared" si="6"/>
      </c>
      <c r="M22" s="8">
        <f>COUNTIF(C6:C35,"=13")</f>
        <v>0</v>
      </c>
      <c r="N22">
        <f t="shared" si="7"/>
      </c>
      <c r="O22">
        <f t="shared" si="8"/>
        <v>0</v>
      </c>
    </row>
    <row r="23" spans="1:15" ht="13.5">
      <c r="A23" s="2">
        <v>18</v>
      </c>
      <c r="B23" s="9"/>
      <c r="C23" s="2">
        <f t="shared" si="0"/>
      </c>
      <c r="D23" s="17"/>
      <c r="E23" s="2">
        <f t="shared" si="1"/>
      </c>
      <c r="F23" s="2">
        <f t="shared" si="2"/>
      </c>
      <c r="G23" s="2">
        <f t="shared" si="3"/>
        <v>0</v>
      </c>
      <c r="I23" s="4">
        <f t="shared" si="4"/>
        <v>14</v>
      </c>
      <c r="J23" s="8">
        <f t="shared" si="9"/>
      </c>
      <c r="K23" s="8">
        <f t="shared" si="5"/>
      </c>
      <c r="L23" s="8">
        <f t="shared" si="6"/>
      </c>
      <c r="M23" s="8">
        <f>COUNTIF(C6:C35,"=14")</f>
        <v>0</v>
      </c>
      <c r="N23">
        <f t="shared" si="7"/>
      </c>
      <c r="O23">
        <f t="shared" si="8"/>
        <v>0</v>
      </c>
    </row>
    <row r="24" spans="1:15" ht="13.5">
      <c r="A24" s="2">
        <v>19</v>
      </c>
      <c r="B24" s="9"/>
      <c r="C24" s="2">
        <f t="shared" si="0"/>
      </c>
      <c r="D24" s="17"/>
      <c r="E24" s="2">
        <f t="shared" si="1"/>
      </c>
      <c r="F24" s="2">
        <f t="shared" si="2"/>
      </c>
      <c r="G24" s="2">
        <f t="shared" si="3"/>
        <v>0</v>
      </c>
      <c r="I24" s="4">
        <f t="shared" si="4"/>
        <v>15</v>
      </c>
      <c r="J24" s="8">
        <f t="shared" si="9"/>
      </c>
      <c r="K24" s="8">
        <f t="shared" si="5"/>
      </c>
      <c r="L24" s="8">
        <f t="shared" si="6"/>
      </c>
      <c r="M24" s="8">
        <f>COUNTIF(C6:C35,"=15")</f>
        <v>0</v>
      </c>
      <c r="N24">
        <f t="shared" si="7"/>
      </c>
      <c r="O24">
        <f t="shared" si="8"/>
        <v>0</v>
      </c>
    </row>
    <row r="25" spans="1:15" ht="13.5">
      <c r="A25" s="2">
        <v>20</v>
      </c>
      <c r="B25" s="9"/>
      <c r="C25" s="2">
        <f t="shared" si="0"/>
      </c>
      <c r="D25" s="17"/>
      <c r="E25" s="2">
        <f t="shared" si="1"/>
      </c>
      <c r="F25" s="2">
        <f t="shared" si="2"/>
      </c>
      <c r="G25" s="2">
        <f t="shared" si="3"/>
        <v>0</v>
      </c>
      <c r="I25" s="4">
        <f t="shared" si="4"/>
        <v>16</v>
      </c>
      <c r="J25" s="8">
        <f t="shared" si="9"/>
      </c>
      <c r="K25" s="8">
        <f t="shared" si="5"/>
      </c>
      <c r="L25" s="8">
        <f t="shared" si="6"/>
      </c>
      <c r="M25" s="8">
        <f>COUNTIF(C6:C35,"=16")</f>
        <v>0</v>
      </c>
      <c r="N25">
        <f t="shared" si="7"/>
      </c>
      <c r="O25">
        <f t="shared" si="8"/>
        <v>0</v>
      </c>
    </row>
    <row r="26" spans="1:15" ht="13.5">
      <c r="A26" s="2">
        <v>21</v>
      </c>
      <c r="B26" s="9"/>
      <c r="C26" s="2">
        <f t="shared" si="0"/>
      </c>
      <c r="D26" s="17"/>
      <c r="E26" s="2">
        <f t="shared" si="1"/>
      </c>
      <c r="F26" s="2">
        <f t="shared" si="2"/>
      </c>
      <c r="G26" s="2">
        <f t="shared" si="3"/>
        <v>0</v>
      </c>
      <c r="I26" s="4">
        <f t="shared" si="4"/>
        <v>17</v>
      </c>
      <c r="J26" s="8">
        <f t="shared" si="9"/>
      </c>
      <c r="K26" s="8">
        <f t="shared" si="5"/>
      </c>
      <c r="L26" s="8">
        <f t="shared" si="6"/>
      </c>
      <c r="M26" s="8">
        <f>COUNTIF(C6:C35,"=17")</f>
        <v>0</v>
      </c>
      <c r="N26">
        <f t="shared" si="7"/>
      </c>
      <c r="O26">
        <f t="shared" si="8"/>
        <v>0</v>
      </c>
    </row>
    <row r="27" spans="1:15" ht="13.5">
      <c r="A27" s="2">
        <v>22</v>
      </c>
      <c r="B27" s="9"/>
      <c r="C27" s="2">
        <f t="shared" si="0"/>
      </c>
      <c r="D27" s="17"/>
      <c r="E27" s="2">
        <f t="shared" si="1"/>
      </c>
      <c r="F27" s="2">
        <f t="shared" si="2"/>
      </c>
      <c r="G27" s="2">
        <f t="shared" si="3"/>
        <v>0</v>
      </c>
      <c r="I27" s="4">
        <f t="shared" si="4"/>
        <v>18</v>
      </c>
      <c r="J27" s="8">
        <f t="shared" si="9"/>
      </c>
      <c r="K27" s="8">
        <f t="shared" si="5"/>
      </c>
      <c r="L27" s="8">
        <f t="shared" si="6"/>
      </c>
      <c r="M27" s="8">
        <f>COUNTIF(C6:C35,"=18")</f>
        <v>0</v>
      </c>
      <c r="N27">
        <f t="shared" si="7"/>
      </c>
      <c r="O27">
        <f t="shared" si="8"/>
        <v>0</v>
      </c>
    </row>
    <row r="28" spans="1:15" ht="13.5">
      <c r="A28" s="2">
        <v>23</v>
      </c>
      <c r="B28" s="9"/>
      <c r="C28" s="2">
        <f t="shared" si="0"/>
      </c>
      <c r="D28" s="17"/>
      <c r="E28" s="2">
        <f t="shared" si="1"/>
      </c>
      <c r="F28" s="2">
        <f t="shared" si="2"/>
      </c>
      <c r="G28" s="2">
        <f t="shared" si="3"/>
        <v>0</v>
      </c>
      <c r="I28" s="4">
        <f t="shared" si="4"/>
        <v>19</v>
      </c>
      <c r="J28" s="8">
        <f t="shared" si="9"/>
      </c>
      <c r="K28" s="8">
        <f t="shared" si="5"/>
      </c>
      <c r="L28" s="8">
        <f t="shared" si="6"/>
      </c>
      <c r="M28" s="8">
        <f>COUNTIF(C6:C35,"=19")</f>
        <v>0</v>
      </c>
      <c r="N28">
        <f t="shared" si="7"/>
      </c>
      <c r="O28">
        <f t="shared" si="8"/>
        <v>0</v>
      </c>
    </row>
    <row r="29" spans="1:15" ht="13.5">
      <c r="A29" s="2">
        <v>24</v>
      </c>
      <c r="B29" s="9"/>
      <c r="C29" s="2">
        <f t="shared" si="0"/>
      </c>
      <c r="D29" s="17"/>
      <c r="E29" s="2">
        <f t="shared" si="1"/>
      </c>
      <c r="F29" s="2">
        <f t="shared" si="2"/>
      </c>
      <c r="G29" s="2">
        <f t="shared" si="3"/>
        <v>0</v>
      </c>
      <c r="I29" s="4">
        <f t="shared" si="4"/>
        <v>20</v>
      </c>
      <c r="J29" s="8">
        <f t="shared" si="9"/>
      </c>
      <c r="K29" s="8">
        <f t="shared" si="5"/>
      </c>
      <c r="L29" s="8">
        <f t="shared" si="6"/>
      </c>
      <c r="M29" s="8">
        <f>COUNTIF(C6:C35,"=20")</f>
        <v>0</v>
      </c>
      <c r="N29">
        <f t="shared" si="7"/>
      </c>
      <c r="O29">
        <f t="shared" si="8"/>
        <v>0</v>
      </c>
    </row>
    <row r="30" spans="1:13" ht="13.5">
      <c r="A30" s="2">
        <v>25</v>
      </c>
      <c r="B30" s="9"/>
      <c r="C30" s="2">
        <f t="shared" si="0"/>
      </c>
      <c r="D30" s="17"/>
      <c r="E30" s="2">
        <f t="shared" si="1"/>
      </c>
      <c r="F30" s="2">
        <f t="shared" si="2"/>
      </c>
      <c r="G30" s="2">
        <f t="shared" si="3"/>
        <v>0</v>
      </c>
      <c r="I30" s="7" t="s">
        <v>13</v>
      </c>
      <c r="J30" s="4"/>
      <c r="K30" s="4"/>
      <c r="L30" s="4"/>
      <c r="M30" s="7">
        <f>SUM(M10:M29)</f>
        <v>0</v>
      </c>
    </row>
    <row r="31" spans="1:7" ht="13.5">
      <c r="A31" s="2">
        <v>26</v>
      </c>
      <c r="B31" s="9"/>
      <c r="C31" s="2">
        <f t="shared" si="0"/>
      </c>
      <c r="D31" s="17"/>
      <c r="E31" s="2">
        <f t="shared" si="1"/>
      </c>
      <c r="F31" s="2">
        <f t="shared" si="2"/>
      </c>
      <c r="G31" s="2">
        <f t="shared" si="3"/>
        <v>0</v>
      </c>
    </row>
    <row r="32" spans="1:7" ht="13.5">
      <c r="A32" s="2">
        <v>27</v>
      </c>
      <c r="B32" s="9"/>
      <c r="C32" s="2">
        <f t="shared" si="0"/>
      </c>
      <c r="D32" s="17"/>
      <c r="E32" s="2">
        <f t="shared" si="1"/>
      </c>
      <c r="F32" s="2">
        <f t="shared" si="2"/>
      </c>
      <c r="G32" s="2">
        <f t="shared" si="3"/>
        <v>0</v>
      </c>
    </row>
    <row r="33" spans="1:10" ht="13.5">
      <c r="A33" s="2">
        <v>28</v>
      </c>
      <c r="B33" s="9"/>
      <c r="C33" s="2">
        <f t="shared" si="0"/>
      </c>
      <c r="D33" s="17"/>
      <c r="E33" s="2">
        <f t="shared" si="1"/>
      </c>
      <c r="F33" s="2">
        <f t="shared" si="2"/>
      </c>
      <c r="G33" s="2">
        <f t="shared" si="3"/>
        <v>0</v>
      </c>
      <c r="I33" t="s">
        <v>6</v>
      </c>
      <c r="J33">
        <f>COUNTIF(D6:D35,"&gt;0")</f>
        <v>0</v>
      </c>
    </row>
    <row r="34" spans="1:12" ht="13.5">
      <c r="A34" s="2">
        <v>29</v>
      </c>
      <c r="B34" s="9"/>
      <c r="C34" s="2">
        <f t="shared" si="0"/>
      </c>
      <c r="D34" s="17"/>
      <c r="E34" s="2">
        <f t="shared" si="1"/>
      </c>
      <c r="F34" s="2">
        <f t="shared" si="2"/>
      </c>
      <c r="G34" s="2">
        <f t="shared" si="3"/>
        <v>0</v>
      </c>
      <c r="I34" t="s">
        <v>1</v>
      </c>
      <c r="J34">
        <f>J4</f>
        <v>0</v>
      </c>
      <c r="K34" t="s">
        <v>7</v>
      </c>
      <c r="L34">
        <f>L4</f>
        <v>0</v>
      </c>
    </row>
    <row r="35" spans="1:10" ht="13.5">
      <c r="A35" s="2">
        <v>30</v>
      </c>
      <c r="B35" s="9"/>
      <c r="C35" s="2">
        <f t="shared" si="0"/>
      </c>
      <c r="D35" s="17"/>
      <c r="E35" s="2">
        <f t="shared" si="1"/>
      </c>
      <c r="F35" s="2">
        <f t="shared" si="2"/>
      </c>
      <c r="G35" s="2">
        <f t="shared" si="3"/>
        <v>0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0</v>
      </c>
      <c r="M36" s="13">
        <f>IF(J33&gt;0,LOG(J33,2)+1,"")</f>
      </c>
      <c r="N36" t="s">
        <v>22</v>
      </c>
    </row>
    <row r="37" spans="9:12" ht="13.5">
      <c r="I37" t="s">
        <v>8</v>
      </c>
      <c r="J37">
        <f>IF(J33&gt;0,ROUND(L37/J35,0)*J35,"")</f>
      </c>
      <c r="K37" t="s">
        <v>9</v>
      </c>
      <c r="L37">
        <f>IF(L36&gt;0,(L34-J34)/L36,"")</f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-0.25</v>
      </c>
      <c r="K40" s="8">
        <f>IF(N40="","",J40+N40)</f>
      </c>
      <c r="L40" s="8">
        <f>IF(N40="","",(J40+K40)/2)</f>
      </c>
      <c r="M40" s="8">
        <f>COUNTIF(E6:E35,"=1")</f>
        <v>0</v>
      </c>
      <c r="N40">
        <f>J37</f>
      </c>
      <c r="O40">
        <f>L34</f>
        <v>0</v>
      </c>
    </row>
    <row r="41" spans="9:15" ht="13.5">
      <c r="I41" s="4">
        <f aca="true" t="shared" si="10" ref="I41:I59">I40+1</f>
        <v>2</v>
      </c>
      <c r="J41" s="8">
        <f>IF(N41="","",IF(J40="","",IF(J40+N41&lt;O41,J40+N41,"")))</f>
      </c>
      <c r="K41" s="8">
        <f>IF(J41&lt;O41,J41+N41,"")</f>
      </c>
      <c r="L41" s="8">
        <f>IF(J41&lt;O41,J41+N41/2,"")</f>
      </c>
      <c r="M41" s="8">
        <f>COUNTIF(E6:E35,"=2")</f>
        <v>0</v>
      </c>
      <c r="N41">
        <f aca="true" t="shared" si="11" ref="N41:N59">N40</f>
      </c>
      <c r="O41">
        <f aca="true" t="shared" si="12" ref="O41:O59">O40</f>
        <v>0</v>
      </c>
    </row>
    <row r="42" spans="9:15" ht="13.5">
      <c r="I42" s="4">
        <f t="shared" si="10"/>
        <v>3</v>
      </c>
      <c r="J42" s="8">
        <f aca="true" t="shared" si="13" ref="J42:J59">IF(J41="","",IF(J41+N42&lt;O42,J41+N42,""))</f>
      </c>
      <c r="K42" s="8">
        <f aca="true" t="shared" si="14" ref="K42:K59">IF(J42&lt;O42,J42+N42,"")</f>
      </c>
      <c r="L42" s="8">
        <f aca="true" t="shared" si="15" ref="L42:L59">IF(J42&lt;O42,J42+N42/2,"")</f>
      </c>
      <c r="M42" s="8">
        <f>COUNTIF(E6:E35,"=3")</f>
        <v>0</v>
      </c>
      <c r="N42">
        <f t="shared" si="11"/>
      </c>
      <c r="O42">
        <f t="shared" si="12"/>
        <v>0</v>
      </c>
    </row>
    <row r="43" spans="9:15" ht="13.5">
      <c r="I43" s="4">
        <f t="shared" si="10"/>
        <v>4</v>
      </c>
      <c r="J43" s="8">
        <f t="shared" si="13"/>
      </c>
      <c r="K43" s="8">
        <f t="shared" si="14"/>
      </c>
      <c r="L43" s="8">
        <f t="shared" si="15"/>
      </c>
      <c r="M43" s="8">
        <f>COUNTIF(E6:E35,"=4")</f>
        <v>0</v>
      </c>
      <c r="N43">
        <f t="shared" si="11"/>
      </c>
      <c r="O43">
        <f t="shared" si="12"/>
        <v>0</v>
      </c>
    </row>
    <row r="44" spans="9:15" ht="13.5">
      <c r="I44" s="4">
        <f t="shared" si="10"/>
        <v>5</v>
      </c>
      <c r="J44" s="8">
        <f t="shared" si="13"/>
      </c>
      <c r="K44" s="8">
        <f t="shared" si="14"/>
      </c>
      <c r="L44" s="8">
        <f t="shared" si="15"/>
      </c>
      <c r="M44" s="8">
        <f>COUNTIF(E6:E35,"=5")</f>
        <v>0</v>
      </c>
      <c r="N44">
        <f t="shared" si="11"/>
      </c>
      <c r="O44">
        <f t="shared" si="12"/>
        <v>0</v>
      </c>
    </row>
    <row r="45" spans="9:15" ht="13.5">
      <c r="I45" s="4">
        <f t="shared" si="10"/>
        <v>6</v>
      </c>
      <c r="J45" s="8">
        <f t="shared" si="13"/>
      </c>
      <c r="K45" s="8">
        <f t="shared" si="14"/>
      </c>
      <c r="L45" s="8">
        <f t="shared" si="15"/>
      </c>
      <c r="M45" s="8">
        <f>COUNTIF(E6:E35,"=6")</f>
        <v>0</v>
      </c>
      <c r="N45">
        <f t="shared" si="11"/>
      </c>
      <c r="O45">
        <f t="shared" si="12"/>
        <v>0</v>
      </c>
    </row>
    <row r="46" spans="9:15" ht="13.5">
      <c r="I46" s="4">
        <f t="shared" si="10"/>
        <v>7</v>
      </c>
      <c r="J46" s="8">
        <f t="shared" si="13"/>
      </c>
      <c r="K46" s="8">
        <f t="shared" si="14"/>
      </c>
      <c r="L46" s="8">
        <f t="shared" si="15"/>
      </c>
      <c r="M46" s="8">
        <f>COUNTIF(E6:E35,"=7")</f>
        <v>0</v>
      </c>
      <c r="N46">
        <f t="shared" si="11"/>
      </c>
      <c r="O46">
        <f t="shared" si="12"/>
        <v>0</v>
      </c>
    </row>
    <row r="47" spans="9:15" ht="13.5">
      <c r="I47" s="4">
        <f t="shared" si="10"/>
        <v>8</v>
      </c>
      <c r="J47" s="8">
        <f t="shared" si="13"/>
      </c>
      <c r="K47" s="8">
        <f t="shared" si="14"/>
      </c>
      <c r="L47" s="8">
        <f t="shared" si="15"/>
      </c>
      <c r="M47" s="8">
        <f>COUNTIF(E6:E35,"=8")</f>
        <v>0</v>
      </c>
      <c r="N47">
        <f t="shared" si="11"/>
      </c>
      <c r="O47">
        <f t="shared" si="12"/>
        <v>0</v>
      </c>
    </row>
    <row r="48" spans="9:15" ht="13.5">
      <c r="I48" s="4">
        <f t="shared" si="10"/>
        <v>9</v>
      </c>
      <c r="J48" s="8">
        <f t="shared" si="13"/>
      </c>
      <c r="K48" s="8">
        <f t="shared" si="14"/>
      </c>
      <c r="L48" s="8">
        <f t="shared" si="15"/>
      </c>
      <c r="M48" s="8">
        <f>COUNTIF(E6:E35,"=9")</f>
        <v>0</v>
      </c>
      <c r="N48">
        <f t="shared" si="11"/>
      </c>
      <c r="O48">
        <f t="shared" si="12"/>
        <v>0</v>
      </c>
    </row>
    <row r="49" spans="9:15" ht="13.5">
      <c r="I49" s="4">
        <f t="shared" si="10"/>
        <v>10</v>
      </c>
      <c r="J49" s="8">
        <f t="shared" si="13"/>
      </c>
      <c r="K49" s="8">
        <f t="shared" si="14"/>
      </c>
      <c r="L49" s="8">
        <f t="shared" si="15"/>
      </c>
      <c r="M49" s="8">
        <f>COUNTIF(E6:E35,"=10")</f>
        <v>0</v>
      </c>
      <c r="N49">
        <f t="shared" si="11"/>
      </c>
      <c r="O49">
        <f t="shared" si="12"/>
        <v>0</v>
      </c>
    </row>
    <row r="50" spans="9:15" ht="13.5">
      <c r="I50" s="4">
        <f t="shared" si="10"/>
        <v>11</v>
      </c>
      <c r="J50" s="8">
        <f t="shared" si="13"/>
      </c>
      <c r="K50" s="8">
        <f t="shared" si="14"/>
      </c>
      <c r="L50" s="8">
        <f t="shared" si="15"/>
      </c>
      <c r="M50" s="8">
        <f>COUNTIF(E6:E35,"=11")</f>
        <v>0</v>
      </c>
      <c r="N50">
        <f t="shared" si="11"/>
      </c>
      <c r="O50">
        <f t="shared" si="12"/>
        <v>0</v>
      </c>
    </row>
    <row r="51" spans="9:15" ht="13.5">
      <c r="I51" s="4">
        <f t="shared" si="10"/>
        <v>12</v>
      </c>
      <c r="J51" s="8">
        <f t="shared" si="13"/>
      </c>
      <c r="K51" s="8">
        <f t="shared" si="14"/>
      </c>
      <c r="L51" s="8">
        <f t="shared" si="15"/>
      </c>
      <c r="M51" s="8">
        <f>COUNTIF(E6:E35,"=12")</f>
        <v>0</v>
      </c>
      <c r="N51">
        <f t="shared" si="11"/>
      </c>
      <c r="O51">
        <f t="shared" si="12"/>
        <v>0</v>
      </c>
    </row>
    <row r="52" spans="9:15" ht="13.5">
      <c r="I52" s="4">
        <f t="shared" si="10"/>
        <v>13</v>
      </c>
      <c r="J52" s="8">
        <f t="shared" si="13"/>
      </c>
      <c r="K52" s="8">
        <f t="shared" si="14"/>
      </c>
      <c r="L52" s="8">
        <f t="shared" si="15"/>
      </c>
      <c r="M52" s="8">
        <f>COUNTIF(E6:E35,"=13")</f>
        <v>0</v>
      </c>
      <c r="N52">
        <f t="shared" si="11"/>
      </c>
      <c r="O52">
        <f t="shared" si="12"/>
        <v>0</v>
      </c>
    </row>
    <row r="53" spans="9:15" ht="13.5">
      <c r="I53" s="4">
        <f t="shared" si="10"/>
        <v>14</v>
      </c>
      <c r="J53" s="8">
        <f t="shared" si="13"/>
      </c>
      <c r="K53" s="8">
        <f t="shared" si="14"/>
      </c>
      <c r="L53" s="8">
        <f t="shared" si="15"/>
      </c>
      <c r="M53" s="8">
        <f>COUNTIF(E6:E35,"=14")</f>
        <v>0</v>
      </c>
      <c r="N53">
        <f t="shared" si="11"/>
      </c>
      <c r="O53">
        <f t="shared" si="12"/>
        <v>0</v>
      </c>
    </row>
    <row r="54" spans="9:15" ht="13.5">
      <c r="I54" s="4">
        <f t="shared" si="10"/>
        <v>15</v>
      </c>
      <c r="J54" s="8">
        <f t="shared" si="13"/>
      </c>
      <c r="K54" s="8">
        <f t="shared" si="14"/>
      </c>
      <c r="L54" s="8">
        <f t="shared" si="15"/>
      </c>
      <c r="M54" s="8">
        <f>COUNTIF(E6:E35,"=15")</f>
        <v>0</v>
      </c>
      <c r="N54">
        <f t="shared" si="11"/>
      </c>
      <c r="O54">
        <f t="shared" si="12"/>
        <v>0</v>
      </c>
    </row>
    <row r="55" spans="9:15" ht="13.5">
      <c r="I55" s="4">
        <f t="shared" si="10"/>
        <v>16</v>
      </c>
      <c r="J55" s="8">
        <f t="shared" si="13"/>
      </c>
      <c r="K55" s="8">
        <f t="shared" si="14"/>
      </c>
      <c r="L55" s="8">
        <f t="shared" si="15"/>
      </c>
      <c r="M55" s="8">
        <f>COUNTIF(E6:E35,"=16")</f>
        <v>0</v>
      </c>
      <c r="N55">
        <f t="shared" si="11"/>
      </c>
      <c r="O55">
        <f t="shared" si="12"/>
        <v>0</v>
      </c>
    </row>
    <row r="56" spans="9:15" ht="13.5">
      <c r="I56" s="4">
        <f t="shared" si="10"/>
        <v>17</v>
      </c>
      <c r="J56" s="8">
        <f t="shared" si="13"/>
      </c>
      <c r="K56" s="8">
        <f t="shared" si="14"/>
      </c>
      <c r="L56" s="8">
        <f t="shared" si="15"/>
      </c>
      <c r="M56" s="8">
        <f>COUNTIF(E6:E35,"=17")</f>
        <v>0</v>
      </c>
      <c r="N56">
        <f t="shared" si="11"/>
      </c>
      <c r="O56">
        <f t="shared" si="12"/>
        <v>0</v>
      </c>
    </row>
    <row r="57" spans="9:15" ht="13.5">
      <c r="I57" s="4">
        <f t="shared" si="10"/>
        <v>18</v>
      </c>
      <c r="J57" s="8">
        <f t="shared" si="13"/>
      </c>
      <c r="K57" s="8">
        <f t="shared" si="14"/>
      </c>
      <c r="L57" s="8">
        <f t="shared" si="15"/>
      </c>
      <c r="M57" s="8">
        <f>COUNTIF(E6:E35,"=18")</f>
        <v>0</v>
      </c>
      <c r="N57">
        <f t="shared" si="11"/>
      </c>
      <c r="O57">
        <f t="shared" si="12"/>
        <v>0</v>
      </c>
    </row>
    <row r="58" spans="9:15" ht="13.5">
      <c r="I58" s="4">
        <f t="shared" si="10"/>
        <v>19</v>
      </c>
      <c r="J58" s="8">
        <f t="shared" si="13"/>
      </c>
      <c r="K58" s="8">
        <f t="shared" si="14"/>
      </c>
      <c r="L58" s="8">
        <f t="shared" si="15"/>
      </c>
      <c r="M58" s="8">
        <f>COUNTIF(E6:E35,"=19")</f>
        <v>0</v>
      </c>
      <c r="N58">
        <f t="shared" si="11"/>
      </c>
      <c r="O58">
        <f t="shared" si="12"/>
        <v>0</v>
      </c>
    </row>
    <row r="59" spans="9:15" ht="13.5">
      <c r="I59" s="4">
        <f t="shared" si="10"/>
        <v>20</v>
      </c>
      <c r="J59" s="8">
        <f t="shared" si="13"/>
      </c>
      <c r="K59" s="8">
        <f t="shared" si="14"/>
      </c>
      <c r="L59" s="8">
        <f t="shared" si="15"/>
      </c>
      <c r="M59" s="8">
        <f>COUNTIF(E6:E35,"=20")</f>
        <v>0</v>
      </c>
      <c r="N59">
        <f t="shared" si="11"/>
      </c>
      <c r="O59">
        <f t="shared" si="12"/>
        <v>0</v>
      </c>
    </row>
    <row r="60" spans="9:13" ht="13.5">
      <c r="I60" s="7" t="s">
        <v>13</v>
      </c>
      <c r="J60" s="4"/>
      <c r="K60" s="4"/>
      <c r="L60" s="4"/>
      <c r="M60" s="7">
        <f>SUM(M40:M59)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90</v>
      </c>
    </row>
    <row r="3" spans="1:11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s="11" t="s">
        <v>70</v>
      </c>
      <c r="K3" t="s">
        <v>93</v>
      </c>
    </row>
    <row r="4" spans="1:12" ht="13.5">
      <c r="A4" s="14">
        <v>1</v>
      </c>
      <c r="B4" s="18">
        <f>'ヒストグラム（比較）'!B6</f>
        <v>0</v>
      </c>
      <c r="C4" s="18">
        <f>'ヒストグラム（比較）'!D6</f>
        <v>0</v>
      </c>
      <c r="D4" s="14">
        <f aca="true" t="shared" si="0" ref="D4:D33">B4^2</f>
        <v>0</v>
      </c>
      <c r="E4" s="14">
        <f aca="true" t="shared" si="1" ref="E4:E33">C4^2</f>
        <v>0</v>
      </c>
      <c r="F4" s="14">
        <f aca="true" t="shared" si="2" ref="F4:F33">B4*C4</f>
        <v>0</v>
      </c>
      <c r="H4" t="s">
        <v>49</v>
      </c>
      <c r="I4">
        <f>COUNTIF(B4:B33,"&gt;0")</f>
        <v>0</v>
      </c>
      <c r="K4" t="s">
        <v>94</v>
      </c>
      <c r="L4">
        <f>IF(I4=0,"",I4-1)</f>
      </c>
    </row>
    <row r="5" spans="1:12" ht="13.5">
      <c r="A5" s="14">
        <f aca="true" t="shared" si="3" ref="A5:A33">A4+1</f>
        <v>2</v>
      </c>
      <c r="B5" s="18">
        <f>'ヒストグラム（比較）'!B7</f>
        <v>0</v>
      </c>
      <c r="C5" s="18">
        <f>'ヒストグラム（比較）'!D7</f>
        <v>0</v>
      </c>
      <c r="D5" s="14">
        <f t="shared" si="0"/>
        <v>0</v>
      </c>
      <c r="E5" s="14">
        <f t="shared" si="1"/>
        <v>0</v>
      </c>
      <c r="F5" s="14">
        <f t="shared" si="2"/>
        <v>0</v>
      </c>
      <c r="H5" t="s">
        <v>50</v>
      </c>
      <c r="I5">
        <f>IF(I4=0,"",D34-B34^2/I4)</f>
      </c>
      <c r="K5" t="s">
        <v>95</v>
      </c>
      <c r="L5">
        <f>IF(I4=0,"",I4-1)</f>
      </c>
    </row>
    <row r="6" spans="1:12" ht="13.5">
      <c r="A6" s="14">
        <f t="shared" si="3"/>
        <v>3</v>
      </c>
      <c r="B6" s="18">
        <f>'ヒストグラム（比較）'!B8</f>
        <v>0</v>
      </c>
      <c r="C6" s="18">
        <f>'ヒストグラム（比較）'!D8</f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H6" t="s">
        <v>51</v>
      </c>
      <c r="I6">
        <f>IF(I4=0,"",E34-C34^2/I4)</f>
      </c>
      <c r="K6" t="s">
        <v>96</v>
      </c>
      <c r="L6">
        <f>IF(I4=0,"",(D34-B34^2/I4)/L4)</f>
      </c>
    </row>
    <row r="7" spans="1:12" ht="13.5">
      <c r="A7" s="14">
        <f t="shared" si="3"/>
        <v>4</v>
      </c>
      <c r="B7" s="18">
        <f>'ヒストグラム（比較）'!B9</f>
        <v>0</v>
      </c>
      <c r="C7" s="18">
        <f>'ヒストグラム（比較）'!D9</f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H7" t="s">
        <v>52</v>
      </c>
      <c r="I7" s="19">
        <f>IF(I4=0,"",F34-B34*C34/I4)</f>
      </c>
      <c r="J7" t="s">
        <v>64</v>
      </c>
      <c r="K7" t="s">
        <v>97</v>
      </c>
      <c r="L7">
        <f>IF(I4=0,"",(E34-C34^2/I4)/L5)</f>
      </c>
    </row>
    <row r="8" spans="1:12" ht="13.5">
      <c r="A8" s="14">
        <f t="shared" si="3"/>
        <v>5</v>
      </c>
      <c r="B8" s="18">
        <f>'ヒストグラム（比較）'!B10</f>
        <v>0</v>
      </c>
      <c r="C8" s="18">
        <f>'ヒストグラム（比較）'!D10</f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H8" t="s">
        <v>53</v>
      </c>
      <c r="I8">
        <f>IF(I4=0,"",B34/I4)</f>
      </c>
      <c r="K8" t="s">
        <v>98</v>
      </c>
      <c r="L8">
        <f>IF(I4=0,"",MAX(L6,L7)/MIN(L6,L7))</f>
      </c>
    </row>
    <row r="9" spans="1:9" ht="13.5">
      <c r="A9" s="14">
        <f t="shared" si="3"/>
        <v>6</v>
      </c>
      <c r="B9" s="18">
        <f>'ヒストグラム（比較）'!B11</f>
        <v>0</v>
      </c>
      <c r="C9" s="18">
        <f>'ヒストグラム（比較）'!D11</f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H9" t="s">
        <v>54</v>
      </c>
      <c r="I9">
        <f>IF(I4=0,"",C34/I4)</f>
      </c>
    </row>
    <row r="10" spans="1:12" ht="13.5">
      <c r="A10" s="14">
        <f t="shared" si="3"/>
        <v>7</v>
      </c>
      <c r="B10" s="18">
        <f>'ヒストグラム（比較）'!B12</f>
        <v>0</v>
      </c>
      <c r="C10" s="18">
        <f>'ヒストグラム（比較）'!D12</f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H10" t="s">
        <v>55</v>
      </c>
      <c r="I10" s="19">
        <f>IF(I5="","",I7/I5)</f>
      </c>
      <c r="J10" t="s">
        <v>64</v>
      </c>
      <c r="K10" t="s">
        <v>43</v>
      </c>
      <c r="L10">
        <f>IF(I4=0,"",FINV(0.05,L4,L5))</f>
      </c>
    </row>
    <row r="11" spans="1:10" ht="13.5">
      <c r="A11" s="14">
        <f t="shared" si="3"/>
        <v>8</v>
      </c>
      <c r="B11" s="18">
        <f>'ヒストグラム（比較）'!B13</f>
        <v>0</v>
      </c>
      <c r="C11" s="18">
        <f>'ヒストグラム（比較）'!D13</f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H11" t="s">
        <v>56</v>
      </c>
      <c r="I11" s="19">
        <f>IF(I9="","",I9-I10*I8)</f>
      </c>
      <c r="J11" t="s">
        <v>64</v>
      </c>
    </row>
    <row r="12" spans="1:12" ht="13.5">
      <c r="A12" s="14">
        <f t="shared" si="3"/>
        <v>9</v>
      </c>
      <c r="B12" s="18">
        <f>'ヒストグラム（比較）'!B14</f>
        <v>0</v>
      </c>
      <c r="C12" s="18">
        <f>'ヒストグラム（比較）'!D14</f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K12" s="11" t="s">
        <v>92</v>
      </c>
      <c r="L12" t="str">
        <f>IF(I4=0,"データ未入力",IF(L8&gt;=L10,"分散に違いあり（有意差あり）","分散に違いはない（有意差なし）"))</f>
        <v>データ未入力</v>
      </c>
    </row>
    <row r="13" spans="1:8" ht="13.5">
      <c r="A13" s="14">
        <f t="shared" si="3"/>
        <v>10</v>
      </c>
      <c r="B13" s="18">
        <f>'ヒストグラム（比較）'!B15</f>
        <v>0</v>
      </c>
      <c r="C13" s="18">
        <f>'ヒストグラム（比較）'!D15</f>
        <v>0</v>
      </c>
      <c r="D13" s="14">
        <f aca="true" t="shared" si="4" ref="D13:D22">B13^2</f>
        <v>0</v>
      </c>
      <c r="E13" s="14">
        <f aca="true" t="shared" si="5" ref="E13:E22">C13^2</f>
        <v>0</v>
      </c>
      <c r="F13" s="14">
        <f aca="true" t="shared" si="6" ref="F13:F22">B13*C13</f>
        <v>0</v>
      </c>
      <c r="H13" s="11" t="s">
        <v>69</v>
      </c>
    </row>
    <row r="14" spans="1:9" ht="13.5">
      <c r="A14" s="14">
        <f t="shared" si="3"/>
        <v>11</v>
      </c>
      <c r="B14" s="18">
        <f>'ヒストグラム（比較）'!B16</f>
        <v>0</v>
      </c>
      <c r="C14" s="18">
        <f>'ヒストグラム（比較）'!D16</f>
        <v>0</v>
      </c>
      <c r="D14" s="14">
        <f t="shared" si="4"/>
        <v>0</v>
      </c>
      <c r="E14" s="14">
        <f t="shared" si="5"/>
        <v>0</v>
      </c>
      <c r="F14" s="14">
        <f t="shared" si="6"/>
        <v>0</v>
      </c>
      <c r="H14" t="s">
        <v>40</v>
      </c>
      <c r="I14">
        <f>IF(I8="","",I8-I9)</f>
      </c>
    </row>
    <row r="15" spans="1:9" ht="13.5">
      <c r="A15" s="14">
        <f t="shared" si="3"/>
        <v>12</v>
      </c>
      <c r="B15" s="18">
        <f>'ヒストグラム（比較）'!B17</f>
        <v>0</v>
      </c>
      <c r="C15" s="18">
        <f>'ヒストグラム（比較）'!D17</f>
        <v>0</v>
      </c>
      <c r="D15" s="14">
        <f t="shared" si="4"/>
        <v>0</v>
      </c>
      <c r="E15" s="14">
        <f t="shared" si="5"/>
        <v>0</v>
      </c>
      <c r="F15" s="14">
        <f t="shared" si="6"/>
        <v>0</v>
      </c>
      <c r="H15" t="s">
        <v>57</v>
      </c>
      <c r="I15">
        <f>IF(I4=0,"",I5/(I4-1))</f>
      </c>
    </row>
    <row r="16" spans="1:9" ht="13.5">
      <c r="A16" s="14">
        <f t="shared" si="3"/>
        <v>13</v>
      </c>
      <c r="B16" s="18">
        <f>'ヒストグラム（比較）'!B18</f>
        <v>0</v>
      </c>
      <c r="C16" s="18">
        <f>'ヒストグラム（比較）'!D18</f>
        <v>0</v>
      </c>
      <c r="D16" s="14">
        <f t="shared" si="4"/>
        <v>0</v>
      </c>
      <c r="E16" s="14">
        <f t="shared" si="5"/>
        <v>0</v>
      </c>
      <c r="F16" s="14">
        <f t="shared" si="6"/>
        <v>0</v>
      </c>
      <c r="H16" t="s">
        <v>58</v>
      </c>
      <c r="I16">
        <f>IF(I4=0,"",I6/(I4-1))</f>
      </c>
    </row>
    <row r="17" spans="1:9" ht="13.5">
      <c r="A17" s="14">
        <f t="shared" si="3"/>
        <v>14</v>
      </c>
      <c r="B17" s="18">
        <f>'ヒストグラム（比較）'!B19</f>
        <v>0</v>
      </c>
      <c r="C17" s="18">
        <f>'ヒストグラム（比較）'!D19</f>
        <v>0</v>
      </c>
      <c r="D17" s="14">
        <f t="shared" si="4"/>
        <v>0</v>
      </c>
      <c r="E17" s="14">
        <f t="shared" si="5"/>
        <v>0</v>
      </c>
      <c r="F17" s="14">
        <f t="shared" si="6"/>
        <v>0</v>
      </c>
      <c r="H17" t="s">
        <v>59</v>
      </c>
      <c r="I17">
        <f>COUNTIF(B4:B33,"&gt;0")</f>
        <v>0</v>
      </c>
    </row>
    <row r="18" spans="1:9" ht="13.5">
      <c r="A18" s="14">
        <f t="shared" si="3"/>
        <v>15</v>
      </c>
      <c r="B18" s="18">
        <f>'ヒストグラム（比較）'!B20</f>
        <v>0</v>
      </c>
      <c r="C18" s="18">
        <f>'ヒストグラム（比較）'!D20</f>
        <v>0</v>
      </c>
      <c r="D18" s="14">
        <f t="shared" si="4"/>
        <v>0</v>
      </c>
      <c r="E18" s="14">
        <f t="shared" si="5"/>
        <v>0</v>
      </c>
      <c r="F18" s="14">
        <f t="shared" si="6"/>
        <v>0</v>
      </c>
      <c r="H18" t="s">
        <v>60</v>
      </c>
      <c r="I18">
        <f>COUNTIF(C4:C33,"&gt;0")</f>
        <v>0</v>
      </c>
    </row>
    <row r="19" spans="1:9" ht="13.5">
      <c r="A19" s="14">
        <f t="shared" si="3"/>
        <v>16</v>
      </c>
      <c r="B19" s="18">
        <f>'ヒストグラム（比較）'!B21</f>
        <v>0</v>
      </c>
      <c r="C19" s="18">
        <f>'ヒストグラム（比較）'!D21</f>
        <v>0</v>
      </c>
      <c r="D19" s="14">
        <f t="shared" si="4"/>
        <v>0</v>
      </c>
      <c r="E19" s="14">
        <f t="shared" si="5"/>
        <v>0</v>
      </c>
      <c r="F19" s="14">
        <f t="shared" si="6"/>
        <v>0</v>
      </c>
      <c r="H19" t="s">
        <v>42</v>
      </c>
      <c r="I19">
        <f>IF(I17+I18=0,"",I15/I17+I16/I18)</f>
      </c>
    </row>
    <row r="20" spans="1:9" ht="13.5">
      <c r="A20" s="14">
        <f t="shared" si="3"/>
        <v>17</v>
      </c>
      <c r="B20" s="18">
        <f>'ヒストグラム（比較）'!B22</f>
        <v>0</v>
      </c>
      <c r="C20" s="18">
        <f>'ヒストグラム（比較）'!D22</f>
        <v>0</v>
      </c>
      <c r="D20" s="14">
        <f t="shared" si="4"/>
        <v>0</v>
      </c>
      <c r="E20" s="14">
        <f t="shared" si="5"/>
        <v>0</v>
      </c>
      <c r="F20" s="14">
        <f t="shared" si="6"/>
        <v>0</v>
      </c>
      <c r="H20" t="s">
        <v>41</v>
      </c>
      <c r="I20">
        <f>IF(I19="","",SQRT(I19))</f>
      </c>
    </row>
    <row r="21" spans="1:9" ht="13.5">
      <c r="A21" s="14">
        <f t="shared" si="3"/>
        <v>18</v>
      </c>
      <c r="B21" s="18">
        <f>'ヒストグラム（比較）'!B23</f>
        <v>0</v>
      </c>
      <c r="C21" s="18">
        <f>'ヒストグラム（比較）'!D23</f>
        <v>0</v>
      </c>
      <c r="D21" s="14">
        <f t="shared" si="4"/>
        <v>0</v>
      </c>
      <c r="E21" s="14">
        <f t="shared" si="5"/>
        <v>0</v>
      </c>
      <c r="F21" s="14">
        <f t="shared" si="6"/>
        <v>0</v>
      </c>
      <c r="H21" t="s">
        <v>61</v>
      </c>
      <c r="I21">
        <f>IF(I20="","",I14/I20)</f>
      </c>
    </row>
    <row r="22" spans="1:9" ht="13.5">
      <c r="A22" s="14">
        <f t="shared" si="3"/>
        <v>19</v>
      </c>
      <c r="B22" s="18">
        <f>'ヒストグラム（比較）'!B24</f>
        <v>0</v>
      </c>
      <c r="C22" s="18">
        <f>'ヒストグラム（比較）'!D24</f>
        <v>0</v>
      </c>
      <c r="D22" s="14">
        <f t="shared" si="4"/>
        <v>0</v>
      </c>
      <c r="E22" s="14">
        <f t="shared" si="5"/>
        <v>0</v>
      </c>
      <c r="F22" s="14">
        <f t="shared" si="6"/>
        <v>0</v>
      </c>
      <c r="H22" t="s">
        <v>65</v>
      </c>
      <c r="I22">
        <f>IF(I14="","",ABS(I14/I20))</f>
      </c>
    </row>
    <row r="23" spans="1:6" ht="13.5">
      <c r="A23" s="14">
        <f t="shared" si="3"/>
        <v>20</v>
      </c>
      <c r="B23" s="18">
        <f>'ヒストグラム（比較）'!B25</f>
        <v>0</v>
      </c>
      <c r="C23" s="18">
        <f>'ヒストグラム（比較）'!D25</f>
        <v>0</v>
      </c>
      <c r="D23" s="14">
        <f t="shared" si="0"/>
        <v>0</v>
      </c>
      <c r="E23" s="14">
        <f t="shared" si="1"/>
        <v>0</v>
      </c>
      <c r="F23" s="14">
        <f t="shared" si="2"/>
        <v>0</v>
      </c>
    </row>
    <row r="24" spans="1:9" ht="13.5">
      <c r="A24" s="14">
        <f t="shared" si="3"/>
        <v>21</v>
      </c>
      <c r="B24" s="18">
        <f>'ヒストグラム（比較）'!B26</f>
        <v>0</v>
      </c>
      <c r="C24" s="18">
        <f>'ヒストグラム（比較）'!D26</f>
        <v>0</v>
      </c>
      <c r="D24" s="14">
        <f t="shared" si="0"/>
        <v>0</v>
      </c>
      <c r="E24" s="14">
        <f t="shared" si="1"/>
        <v>0</v>
      </c>
      <c r="F24" s="14">
        <f t="shared" si="2"/>
        <v>0</v>
      </c>
      <c r="H24" t="s">
        <v>43</v>
      </c>
      <c r="I24">
        <f>IF(I4=0,"",ROUND(TINV(0.05,I17+I18-2),3))</f>
      </c>
    </row>
    <row r="25" spans="1:6" ht="13.5">
      <c r="A25" s="14">
        <f t="shared" si="3"/>
        <v>22</v>
      </c>
      <c r="B25" s="18">
        <f>'ヒストグラム（比較）'!B27</f>
        <v>0</v>
      </c>
      <c r="C25" s="18">
        <f>'ヒストグラム（比較）'!D27</f>
        <v>0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9" ht="13.5">
      <c r="A26" s="14">
        <f t="shared" si="3"/>
        <v>23</v>
      </c>
      <c r="B26" s="18">
        <f>'ヒストグラム（比較）'!B28</f>
        <v>0</v>
      </c>
      <c r="C26" s="18">
        <f>'ヒストグラム（比較）'!D28</f>
        <v>0</v>
      </c>
      <c r="D26" s="14">
        <f t="shared" si="0"/>
        <v>0</v>
      </c>
      <c r="E26" s="14">
        <f t="shared" si="1"/>
        <v>0</v>
      </c>
      <c r="F26" s="14">
        <f t="shared" si="2"/>
        <v>0</v>
      </c>
      <c r="H26" s="11" t="s">
        <v>92</v>
      </c>
      <c r="I26" t="str">
        <f>IF(I4=0,"データ未入力",IF(I22&gt;=I24,"平均に違いあり（有意差あり）","平均に違いはない（有意差なし）"))</f>
        <v>データ未入力</v>
      </c>
    </row>
    <row r="27" spans="1:6" ht="13.5">
      <c r="A27" s="14">
        <f t="shared" si="3"/>
        <v>24</v>
      </c>
      <c r="B27" s="18">
        <f>'ヒストグラム（比較）'!B29</f>
        <v>0</v>
      </c>
      <c r="C27" s="18">
        <f>'ヒストグラム（比較）'!D29</f>
        <v>0</v>
      </c>
      <c r="D27" s="14">
        <f t="shared" si="0"/>
        <v>0</v>
      </c>
      <c r="E27" s="14">
        <f t="shared" si="1"/>
        <v>0</v>
      </c>
      <c r="F27" s="14">
        <f t="shared" si="2"/>
        <v>0</v>
      </c>
    </row>
    <row r="28" spans="1:8" ht="13.5">
      <c r="A28" s="14">
        <f t="shared" si="3"/>
        <v>25</v>
      </c>
      <c r="B28" s="18">
        <f>'ヒストグラム（比較）'!B30</f>
        <v>0</v>
      </c>
      <c r="C28" s="18">
        <f>'ヒストグラム（比較）'!D30</f>
        <v>0</v>
      </c>
      <c r="D28" s="14">
        <f t="shared" si="0"/>
        <v>0</v>
      </c>
      <c r="E28" s="14">
        <f t="shared" si="1"/>
        <v>0</v>
      </c>
      <c r="F28" s="14">
        <f t="shared" si="2"/>
        <v>0</v>
      </c>
      <c r="H28" s="11" t="s">
        <v>68</v>
      </c>
    </row>
    <row r="29" spans="1:8" ht="13.5">
      <c r="A29" s="14">
        <f t="shared" si="3"/>
        <v>26</v>
      </c>
      <c r="B29" s="18">
        <f>'ヒストグラム（比較）'!B31</f>
        <v>0</v>
      </c>
      <c r="C29" s="18">
        <f>'ヒストグラム（比較）'!D31</f>
        <v>0</v>
      </c>
      <c r="D29" s="14">
        <f t="shared" si="0"/>
        <v>0</v>
      </c>
      <c r="E29" s="14">
        <f t="shared" si="1"/>
        <v>0</v>
      </c>
      <c r="F29" s="14">
        <f t="shared" si="2"/>
        <v>0</v>
      </c>
      <c r="H29" t="s">
        <v>72</v>
      </c>
    </row>
    <row r="30" spans="1:8" ht="13.5">
      <c r="A30" s="14">
        <f t="shared" si="3"/>
        <v>27</v>
      </c>
      <c r="B30" s="18">
        <f>'ヒストグラム（比較）'!B32</f>
        <v>0</v>
      </c>
      <c r="C30" s="18">
        <f>'ヒストグラム（比較）'!D32</f>
        <v>0</v>
      </c>
      <c r="D30" s="14">
        <f t="shared" si="0"/>
        <v>0</v>
      </c>
      <c r="E30" s="14">
        <f t="shared" si="1"/>
        <v>0</v>
      </c>
      <c r="F30" s="14">
        <f t="shared" si="2"/>
        <v>0</v>
      </c>
      <c r="H30" t="s">
        <v>71</v>
      </c>
    </row>
    <row r="31" spans="1:8" ht="13.5">
      <c r="A31" s="14">
        <f t="shared" si="3"/>
        <v>28</v>
      </c>
      <c r="B31" s="18">
        <f>'ヒストグラム（比較）'!B33</f>
        <v>0</v>
      </c>
      <c r="C31" s="18">
        <f>'ヒストグラム（比較）'!D33</f>
        <v>0</v>
      </c>
      <c r="D31" s="14">
        <f t="shared" si="0"/>
        <v>0</v>
      </c>
      <c r="E31" s="14">
        <f t="shared" si="1"/>
        <v>0</v>
      </c>
      <c r="F31" s="14">
        <f t="shared" si="2"/>
        <v>0</v>
      </c>
      <c r="H31" t="s">
        <v>66</v>
      </c>
    </row>
    <row r="32" spans="1:8" ht="13.5">
      <c r="A32" s="14">
        <f t="shared" si="3"/>
        <v>29</v>
      </c>
      <c r="B32" s="18">
        <f>'ヒストグラム（比較）'!B34</f>
        <v>0</v>
      </c>
      <c r="C32" s="18">
        <f>'ヒストグラム（比較）'!D34</f>
        <v>0</v>
      </c>
      <c r="D32" s="14">
        <f t="shared" si="0"/>
        <v>0</v>
      </c>
      <c r="E32" s="14">
        <f t="shared" si="1"/>
        <v>0</v>
      </c>
      <c r="F32" s="14">
        <f t="shared" si="2"/>
        <v>0</v>
      </c>
      <c r="H32" t="s">
        <v>73</v>
      </c>
    </row>
    <row r="33" spans="1:8" ht="13.5">
      <c r="A33" s="14">
        <f t="shared" si="3"/>
        <v>30</v>
      </c>
      <c r="B33" s="18">
        <f>'ヒストグラム（比較）'!B35</f>
        <v>0</v>
      </c>
      <c r="C33" s="18">
        <f>'ヒストグラム（比較）'!D35</f>
        <v>0</v>
      </c>
      <c r="D33" s="14">
        <f t="shared" si="0"/>
        <v>0</v>
      </c>
      <c r="E33" s="14">
        <f t="shared" si="1"/>
        <v>0</v>
      </c>
      <c r="F33" s="14">
        <f t="shared" si="2"/>
        <v>0</v>
      </c>
      <c r="H33" t="s">
        <v>67</v>
      </c>
    </row>
    <row r="34" spans="1:8" ht="13.5">
      <c r="A34" s="14" t="s">
        <v>13</v>
      </c>
      <c r="B34" s="14">
        <f>SUM(B4:B33)</f>
        <v>0</v>
      </c>
      <c r="C34" s="14">
        <f>SUM(C4:C33)</f>
        <v>0</v>
      </c>
      <c r="D34" s="14">
        <f>SUM(D4:D33)</f>
        <v>0</v>
      </c>
      <c r="E34" s="14">
        <f>SUM(E4:E33)</f>
        <v>0</v>
      </c>
      <c r="F34" s="14">
        <f>SUM(F4:F33)</f>
        <v>0</v>
      </c>
      <c r="H34" t="s">
        <v>77</v>
      </c>
    </row>
    <row r="35" spans="1:3" ht="13.5">
      <c r="A35" t="s">
        <v>75</v>
      </c>
      <c r="B35">
        <f>AVERAGE(B4:B33)</f>
        <v>0</v>
      </c>
      <c r="C35">
        <f>AVERAGE(C4:C33)</f>
        <v>0</v>
      </c>
    </row>
    <row r="36" spans="1:3" ht="13.5">
      <c r="A36" t="s">
        <v>74</v>
      </c>
      <c r="B36">
        <f>STDEV(B4:B33)</f>
        <v>0</v>
      </c>
      <c r="C36">
        <f>STDEV(C4:C33)</f>
        <v>0</v>
      </c>
    </row>
    <row r="37" spans="1:3" ht="13.5">
      <c r="A37" t="s">
        <v>76</v>
      </c>
      <c r="B37">
        <f>B36^2</f>
        <v>0</v>
      </c>
      <c r="C37">
        <f>C36^2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t="s">
        <v>49</v>
      </c>
      <c r="I3">
        <f>COUNTIF(B4:B23,"&gt;0")</f>
        <v>20</v>
      </c>
      <c r="K3" t="str">
        <f aca="true" t="shared" si="0" ref="K3:K23">B3</f>
        <v>x</v>
      </c>
      <c r="L3" t="s">
        <v>63</v>
      </c>
      <c r="M3" t="s">
        <v>62</v>
      </c>
      <c r="N3" t="s">
        <v>81</v>
      </c>
      <c r="O3" t="s">
        <v>82</v>
      </c>
    </row>
    <row r="4" spans="1:15" ht="13.5">
      <c r="A4" s="14">
        <v>1</v>
      </c>
      <c r="B4" s="7">
        <v>1</v>
      </c>
      <c r="C4" s="7">
        <v>1</v>
      </c>
      <c r="D4" s="14">
        <f aca="true" t="shared" si="1" ref="D4:D23">B4^2</f>
        <v>1</v>
      </c>
      <c r="E4" s="14">
        <f aca="true" t="shared" si="2" ref="E4:E23">C4^2</f>
        <v>1</v>
      </c>
      <c r="F4" s="14">
        <f aca="true" t="shared" si="3" ref="F4:F23">B4*C4</f>
        <v>1</v>
      </c>
      <c r="H4" t="s">
        <v>83</v>
      </c>
      <c r="I4">
        <f>IF(I3=0,"",D24-B24^2/I3)</f>
        <v>684.9499999999998</v>
      </c>
      <c r="K4">
        <f t="shared" si="0"/>
        <v>1</v>
      </c>
      <c r="L4">
        <f aca="true" t="shared" si="4" ref="L4:L23">C4</f>
        <v>1</v>
      </c>
      <c r="M4">
        <f aca="true" t="shared" si="5" ref="M4:M23">IF(N4="","",N4*K4+O4)</f>
        <v>2.60748959778086</v>
      </c>
      <c r="N4">
        <f>I9</f>
        <v>2.401197167676473</v>
      </c>
      <c r="O4">
        <f>I10</f>
        <v>0.20629243010438714</v>
      </c>
    </row>
    <row r="5" spans="1:15" ht="13.5">
      <c r="A5" s="14">
        <f aca="true" t="shared" si="6" ref="A5:B23">A4+1</f>
        <v>2</v>
      </c>
      <c r="B5" s="7">
        <v>3</v>
      </c>
      <c r="C5" s="7">
        <v>15</v>
      </c>
      <c r="D5" s="14">
        <f t="shared" si="1"/>
        <v>9</v>
      </c>
      <c r="E5" s="14">
        <f t="shared" si="2"/>
        <v>225</v>
      </c>
      <c r="F5" s="14">
        <f t="shared" si="3"/>
        <v>45</v>
      </c>
      <c r="H5" t="s">
        <v>84</v>
      </c>
      <c r="I5">
        <f>IF(I3=0,"",E24-C24^2/I3)</f>
        <v>4028.2000000000007</v>
      </c>
      <c r="K5">
        <f t="shared" si="0"/>
        <v>3</v>
      </c>
      <c r="L5">
        <f t="shared" si="4"/>
        <v>15</v>
      </c>
      <c r="M5">
        <f t="shared" si="5"/>
        <v>7.4098839331338056</v>
      </c>
      <c r="N5">
        <f aca="true" t="shared" si="7" ref="N5:N23">N4</f>
        <v>2.401197167676473</v>
      </c>
      <c r="O5">
        <f aca="true" t="shared" si="8" ref="O5:O23">O4</f>
        <v>0.20629243010438714</v>
      </c>
    </row>
    <row r="6" spans="1:15" ht="13.5">
      <c r="A6" s="14">
        <f t="shared" si="6"/>
        <v>3</v>
      </c>
      <c r="B6" s="7">
        <f t="shared" si="6"/>
        <v>4</v>
      </c>
      <c r="C6" s="7">
        <f>B6*1.5+INT(A6/2)*2</f>
        <v>8</v>
      </c>
      <c r="D6" s="14">
        <f t="shared" si="1"/>
        <v>16</v>
      </c>
      <c r="E6" s="14">
        <f t="shared" si="2"/>
        <v>64</v>
      </c>
      <c r="F6" s="14">
        <f t="shared" si="3"/>
        <v>32</v>
      </c>
      <c r="H6" t="s">
        <v>85</v>
      </c>
      <c r="I6">
        <f>IF(I3=0,"",F24-B24*C24/I3)</f>
        <v>1644.6999999999998</v>
      </c>
      <c r="K6">
        <f t="shared" si="0"/>
        <v>4</v>
      </c>
      <c r="L6">
        <f t="shared" si="4"/>
        <v>8</v>
      </c>
      <c r="M6">
        <f t="shared" si="5"/>
        <v>9.811081100810279</v>
      </c>
      <c r="N6">
        <f t="shared" si="7"/>
        <v>2.401197167676473</v>
      </c>
      <c r="O6">
        <f t="shared" si="8"/>
        <v>0.20629243010438714</v>
      </c>
    </row>
    <row r="7" spans="1:15" ht="13.5">
      <c r="A7" s="14">
        <f t="shared" si="6"/>
        <v>4</v>
      </c>
      <c r="B7" s="7">
        <f t="shared" si="6"/>
        <v>5</v>
      </c>
      <c r="C7" s="7">
        <f aca="true" t="shared" si="9" ref="C7:C14">ROUND(B7*1.5+INT(A7/2)*2,0)</f>
        <v>12</v>
      </c>
      <c r="D7" s="14">
        <f t="shared" si="1"/>
        <v>25</v>
      </c>
      <c r="E7" s="14">
        <f t="shared" si="2"/>
        <v>144</v>
      </c>
      <c r="F7" s="14">
        <f t="shared" si="3"/>
        <v>60</v>
      </c>
      <c r="H7" t="s">
        <v>86</v>
      </c>
      <c r="I7">
        <f>IF(I3=0,"",B24/I3)</f>
        <v>11.45</v>
      </c>
      <c r="K7">
        <f t="shared" si="0"/>
        <v>5</v>
      </c>
      <c r="L7">
        <f t="shared" si="4"/>
        <v>12</v>
      </c>
      <c r="M7">
        <f t="shared" si="5"/>
        <v>12.212278268486752</v>
      </c>
      <c r="N7">
        <f t="shared" si="7"/>
        <v>2.401197167676473</v>
      </c>
      <c r="O7">
        <f t="shared" si="8"/>
        <v>0.20629243010438714</v>
      </c>
    </row>
    <row r="8" spans="1:15" ht="13.5">
      <c r="A8" s="14">
        <f t="shared" si="6"/>
        <v>5</v>
      </c>
      <c r="B8" s="7">
        <f t="shared" si="6"/>
        <v>6</v>
      </c>
      <c r="C8" s="7">
        <f t="shared" si="9"/>
        <v>13</v>
      </c>
      <c r="D8" s="14">
        <f t="shared" si="1"/>
        <v>36</v>
      </c>
      <c r="E8" s="14">
        <f t="shared" si="2"/>
        <v>169</v>
      </c>
      <c r="F8" s="14">
        <f t="shared" si="3"/>
        <v>78</v>
      </c>
      <c r="H8" t="s">
        <v>87</v>
      </c>
      <c r="I8">
        <f>IF(I3=0,"",C24/I3)</f>
        <v>27.7</v>
      </c>
      <c r="K8">
        <f t="shared" si="0"/>
        <v>6</v>
      </c>
      <c r="L8">
        <f t="shared" si="4"/>
        <v>13</v>
      </c>
      <c r="M8">
        <f t="shared" si="5"/>
        <v>14.613475436163224</v>
      </c>
      <c r="N8">
        <f t="shared" si="7"/>
        <v>2.401197167676473</v>
      </c>
      <c r="O8">
        <f t="shared" si="8"/>
        <v>0.20629243010438714</v>
      </c>
    </row>
    <row r="9" spans="1:15" ht="13.5">
      <c r="A9" s="14">
        <f t="shared" si="6"/>
        <v>6</v>
      </c>
      <c r="B9" s="7">
        <f t="shared" si="6"/>
        <v>7</v>
      </c>
      <c r="C9" s="7">
        <f t="shared" si="9"/>
        <v>17</v>
      </c>
      <c r="D9" s="14">
        <f t="shared" si="1"/>
        <v>49</v>
      </c>
      <c r="E9" s="14">
        <f t="shared" si="2"/>
        <v>289</v>
      </c>
      <c r="F9" s="14">
        <f t="shared" si="3"/>
        <v>119</v>
      </c>
      <c r="H9" t="s">
        <v>81</v>
      </c>
      <c r="I9">
        <f>IF(I4="","",I6/I4)</f>
        <v>2.401197167676473</v>
      </c>
      <c r="K9">
        <f t="shared" si="0"/>
        <v>7</v>
      </c>
      <c r="L9">
        <f t="shared" si="4"/>
        <v>17</v>
      </c>
      <c r="M9">
        <f t="shared" si="5"/>
        <v>17.0146726038397</v>
      </c>
      <c r="N9">
        <f t="shared" si="7"/>
        <v>2.401197167676473</v>
      </c>
      <c r="O9">
        <f t="shared" si="8"/>
        <v>0.20629243010438714</v>
      </c>
    </row>
    <row r="10" spans="1:15" ht="13.5">
      <c r="A10" s="14">
        <f t="shared" si="6"/>
        <v>7</v>
      </c>
      <c r="B10" s="7">
        <f t="shared" si="6"/>
        <v>8</v>
      </c>
      <c r="C10" s="7">
        <f t="shared" si="9"/>
        <v>18</v>
      </c>
      <c r="D10" s="14">
        <f t="shared" si="1"/>
        <v>64</v>
      </c>
      <c r="E10" s="14">
        <f t="shared" si="2"/>
        <v>324</v>
      </c>
      <c r="F10" s="14">
        <f t="shared" si="3"/>
        <v>144</v>
      </c>
      <c r="H10" t="s">
        <v>82</v>
      </c>
      <c r="I10">
        <f>IF(I8="","",I8-I9*I7)</f>
        <v>0.20629243010438714</v>
      </c>
      <c r="K10">
        <f t="shared" si="0"/>
        <v>8</v>
      </c>
      <c r="L10">
        <f t="shared" si="4"/>
        <v>18</v>
      </c>
      <c r="M10">
        <f t="shared" si="5"/>
        <v>19.41586977151617</v>
      </c>
      <c r="N10">
        <f t="shared" si="7"/>
        <v>2.401197167676473</v>
      </c>
      <c r="O10">
        <f t="shared" si="8"/>
        <v>0.20629243010438714</v>
      </c>
    </row>
    <row r="11" spans="1:15" ht="13.5">
      <c r="A11" s="14">
        <f t="shared" si="6"/>
        <v>8</v>
      </c>
      <c r="B11" s="7">
        <f t="shared" si="6"/>
        <v>9</v>
      </c>
      <c r="C11" s="7">
        <f t="shared" si="9"/>
        <v>22</v>
      </c>
      <c r="D11" s="14">
        <f t="shared" si="1"/>
        <v>81</v>
      </c>
      <c r="E11" s="14">
        <f t="shared" si="2"/>
        <v>484</v>
      </c>
      <c r="F11" s="14">
        <f t="shared" si="3"/>
        <v>198</v>
      </c>
      <c r="K11">
        <f t="shared" si="0"/>
        <v>9</v>
      </c>
      <c r="L11">
        <f t="shared" si="4"/>
        <v>22</v>
      </c>
      <c r="M11">
        <f t="shared" si="5"/>
        <v>21.817066939192642</v>
      </c>
      <c r="N11">
        <f t="shared" si="7"/>
        <v>2.401197167676473</v>
      </c>
      <c r="O11">
        <f t="shared" si="8"/>
        <v>0.20629243010438714</v>
      </c>
    </row>
    <row r="12" spans="1:15" ht="13.5">
      <c r="A12" s="14">
        <f t="shared" si="6"/>
        <v>9</v>
      </c>
      <c r="B12" s="7">
        <f t="shared" si="6"/>
        <v>10</v>
      </c>
      <c r="C12" s="7">
        <f t="shared" si="9"/>
        <v>23</v>
      </c>
      <c r="D12" s="14">
        <f t="shared" si="1"/>
        <v>100</v>
      </c>
      <c r="E12" s="14">
        <f t="shared" si="2"/>
        <v>529</v>
      </c>
      <c r="F12" s="14">
        <f t="shared" si="3"/>
        <v>230</v>
      </c>
      <c r="K12">
        <f t="shared" si="0"/>
        <v>10</v>
      </c>
      <c r="L12">
        <f t="shared" si="4"/>
        <v>23</v>
      </c>
      <c r="M12">
        <f t="shared" si="5"/>
        <v>24.218264106869118</v>
      </c>
      <c r="N12">
        <f t="shared" si="7"/>
        <v>2.401197167676473</v>
      </c>
      <c r="O12">
        <f t="shared" si="8"/>
        <v>0.20629243010438714</v>
      </c>
    </row>
    <row r="13" spans="1:15" ht="13.5">
      <c r="A13" s="14">
        <f t="shared" si="6"/>
        <v>10</v>
      </c>
      <c r="B13" s="7">
        <f t="shared" si="6"/>
        <v>11</v>
      </c>
      <c r="C13" s="7">
        <f t="shared" si="9"/>
        <v>27</v>
      </c>
      <c r="D13" s="14">
        <f t="shared" si="1"/>
        <v>121</v>
      </c>
      <c r="E13" s="14">
        <f t="shared" si="2"/>
        <v>729</v>
      </c>
      <c r="F13" s="14">
        <f t="shared" si="3"/>
        <v>297</v>
      </c>
      <c r="K13">
        <f t="shared" si="0"/>
        <v>11</v>
      </c>
      <c r="L13">
        <f t="shared" si="4"/>
        <v>27</v>
      </c>
      <c r="M13">
        <f t="shared" si="5"/>
        <v>26.61946127454559</v>
      </c>
      <c r="N13">
        <f t="shared" si="7"/>
        <v>2.401197167676473</v>
      </c>
      <c r="O13">
        <f t="shared" si="8"/>
        <v>0.20629243010438714</v>
      </c>
    </row>
    <row r="14" spans="1:15" ht="13.5">
      <c r="A14" s="14">
        <f t="shared" si="6"/>
        <v>11</v>
      </c>
      <c r="B14" s="7">
        <f t="shared" si="6"/>
        <v>12</v>
      </c>
      <c r="C14" s="7">
        <f t="shared" si="9"/>
        <v>28</v>
      </c>
      <c r="D14" s="14">
        <f t="shared" si="1"/>
        <v>144</v>
      </c>
      <c r="E14" s="14">
        <f t="shared" si="2"/>
        <v>784</v>
      </c>
      <c r="F14" s="14">
        <f t="shared" si="3"/>
        <v>336</v>
      </c>
      <c r="K14">
        <f t="shared" si="0"/>
        <v>12</v>
      </c>
      <c r="L14">
        <f t="shared" si="4"/>
        <v>28</v>
      </c>
      <c r="M14">
        <f t="shared" si="5"/>
        <v>29.02065844222206</v>
      </c>
      <c r="N14">
        <f t="shared" si="7"/>
        <v>2.401197167676473</v>
      </c>
      <c r="O14">
        <f t="shared" si="8"/>
        <v>0.20629243010438714</v>
      </c>
    </row>
    <row r="15" spans="1:15" ht="13.5">
      <c r="A15" s="14">
        <f t="shared" si="6"/>
        <v>12</v>
      </c>
      <c r="B15" s="7">
        <f t="shared" si="6"/>
        <v>13</v>
      </c>
      <c r="C15" s="7">
        <v>30</v>
      </c>
      <c r="D15" s="14">
        <f t="shared" si="1"/>
        <v>169</v>
      </c>
      <c r="E15" s="14">
        <f t="shared" si="2"/>
        <v>900</v>
      </c>
      <c r="F15" s="14">
        <f t="shared" si="3"/>
        <v>390</v>
      </c>
      <c r="K15">
        <f t="shared" si="0"/>
        <v>13</v>
      </c>
      <c r="L15">
        <f t="shared" si="4"/>
        <v>30</v>
      </c>
      <c r="M15">
        <f t="shared" si="5"/>
        <v>31.421855609898536</v>
      </c>
      <c r="N15">
        <f t="shared" si="7"/>
        <v>2.401197167676473</v>
      </c>
      <c r="O15">
        <f t="shared" si="8"/>
        <v>0.20629243010438714</v>
      </c>
    </row>
    <row r="16" spans="1:15" ht="13.5">
      <c r="A16" s="14">
        <f t="shared" si="6"/>
        <v>13</v>
      </c>
      <c r="B16" s="7">
        <f t="shared" si="6"/>
        <v>14</v>
      </c>
      <c r="C16" s="7">
        <f aca="true" t="shared" si="10" ref="C16:C23">ROUND(B16*1.5+INT(A16/2)*2,0)</f>
        <v>33</v>
      </c>
      <c r="D16" s="14">
        <f t="shared" si="1"/>
        <v>196</v>
      </c>
      <c r="E16" s="14">
        <f t="shared" si="2"/>
        <v>1089</v>
      </c>
      <c r="F16" s="14">
        <f t="shared" si="3"/>
        <v>462</v>
      </c>
      <c r="K16">
        <f t="shared" si="0"/>
        <v>14</v>
      </c>
      <c r="L16">
        <f t="shared" si="4"/>
        <v>33</v>
      </c>
      <c r="M16">
        <f t="shared" si="5"/>
        <v>33.823052777575015</v>
      </c>
      <c r="N16">
        <f t="shared" si="7"/>
        <v>2.401197167676473</v>
      </c>
      <c r="O16">
        <f t="shared" si="8"/>
        <v>0.20629243010438714</v>
      </c>
    </row>
    <row r="17" spans="1:15" ht="13.5">
      <c r="A17" s="14">
        <f t="shared" si="6"/>
        <v>14</v>
      </c>
      <c r="B17" s="7">
        <f t="shared" si="6"/>
        <v>15</v>
      </c>
      <c r="C17" s="7">
        <f t="shared" si="10"/>
        <v>37</v>
      </c>
      <c r="D17" s="14">
        <f t="shared" si="1"/>
        <v>225</v>
      </c>
      <c r="E17" s="14">
        <f t="shared" si="2"/>
        <v>1369</v>
      </c>
      <c r="F17" s="14">
        <f t="shared" si="3"/>
        <v>555</v>
      </c>
      <c r="K17">
        <f t="shared" si="0"/>
        <v>15</v>
      </c>
      <c r="L17">
        <f t="shared" si="4"/>
        <v>37</v>
      </c>
      <c r="M17">
        <f t="shared" si="5"/>
        <v>36.224249945251486</v>
      </c>
      <c r="N17">
        <f t="shared" si="7"/>
        <v>2.401197167676473</v>
      </c>
      <c r="O17">
        <f t="shared" si="8"/>
        <v>0.20629243010438714</v>
      </c>
    </row>
    <row r="18" spans="1:15" ht="13.5">
      <c r="A18" s="14">
        <f t="shared" si="6"/>
        <v>15</v>
      </c>
      <c r="B18" s="7">
        <f t="shared" si="6"/>
        <v>16</v>
      </c>
      <c r="C18" s="7">
        <f t="shared" si="10"/>
        <v>38</v>
      </c>
      <c r="D18" s="14">
        <f t="shared" si="1"/>
        <v>256</v>
      </c>
      <c r="E18" s="14">
        <f t="shared" si="2"/>
        <v>1444</v>
      </c>
      <c r="F18" s="14">
        <f t="shared" si="3"/>
        <v>608</v>
      </c>
      <c r="K18">
        <f t="shared" si="0"/>
        <v>16</v>
      </c>
      <c r="L18">
        <f t="shared" si="4"/>
        <v>38</v>
      </c>
      <c r="M18">
        <f t="shared" si="5"/>
        <v>38.62544711292796</v>
      </c>
      <c r="N18">
        <f t="shared" si="7"/>
        <v>2.401197167676473</v>
      </c>
      <c r="O18">
        <f t="shared" si="8"/>
        <v>0.20629243010438714</v>
      </c>
    </row>
    <row r="19" spans="1:15" ht="13.5">
      <c r="A19" s="14">
        <f t="shared" si="6"/>
        <v>16</v>
      </c>
      <c r="B19" s="7">
        <f t="shared" si="6"/>
        <v>17</v>
      </c>
      <c r="C19" s="7">
        <f t="shared" si="10"/>
        <v>42</v>
      </c>
      <c r="D19" s="14">
        <f t="shared" si="1"/>
        <v>289</v>
      </c>
      <c r="E19" s="14">
        <f t="shared" si="2"/>
        <v>1764</v>
      </c>
      <c r="F19" s="14">
        <f t="shared" si="3"/>
        <v>714</v>
      </c>
      <c r="K19">
        <f t="shared" si="0"/>
        <v>17</v>
      </c>
      <c r="L19">
        <f t="shared" si="4"/>
        <v>42</v>
      </c>
      <c r="M19">
        <f t="shared" si="5"/>
        <v>41.02664428060443</v>
      </c>
      <c r="N19">
        <f t="shared" si="7"/>
        <v>2.401197167676473</v>
      </c>
      <c r="O19">
        <f t="shared" si="8"/>
        <v>0.20629243010438714</v>
      </c>
    </row>
    <row r="20" spans="1:15" ht="13.5">
      <c r="A20" s="14">
        <f t="shared" si="6"/>
        <v>17</v>
      </c>
      <c r="B20" s="7">
        <f t="shared" si="6"/>
        <v>18</v>
      </c>
      <c r="C20" s="7">
        <f t="shared" si="10"/>
        <v>43</v>
      </c>
      <c r="D20" s="14">
        <f t="shared" si="1"/>
        <v>324</v>
      </c>
      <c r="E20" s="14">
        <f t="shared" si="2"/>
        <v>1849</v>
      </c>
      <c r="F20" s="14">
        <f t="shared" si="3"/>
        <v>774</v>
      </c>
      <c r="K20">
        <f t="shared" si="0"/>
        <v>18</v>
      </c>
      <c r="L20">
        <f t="shared" si="4"/>
        <v>43</v>
      </c>
      <c r="M20">
        <f t="shared" si="5"/>
        <v>43.4278414482809</v>
      </c>
      <c r="N20">
        <f t="shared" si="7"/>
        <v>2.401197167676473</v>
      </c>
      <c r="O20">
        <f t="shared" si="8"/>
        <v>0.20629243010438714</v>
      </c>
    </row>
    <row r="21" spans="1:15" ht="13.5">
      <c r="A21" s="14">
        <f t="shared" si="6"/>
        <v>18</v>
      </c>
      <c r="B21" s="7">
        <f t="shared" si="6"/>
        <v>19</v>
      </c>
      <c r="C21" s="7">
        <f t="shared" si="10"/>
        <v>47</v>
      </c>
      <c r="D21" s="14">
        <f t="shared" si="1"/>
        <v>361</v>
      </c>
      <c r="E21" s="14">
        <f t="shared" si="2"/>
        <v>2209</v>
      </c>
      <c r="F21" s="14">
        <f t="shared" si="3"/>
        <v>893</v>
      </c>
      <c r="K21">
        <f t="shared" si="0"/>
        <v>19</v>
      </c>
      <c r="L21">
        <f t="shared" si="4"/>
        <v>47</v>
      </c>
      <c r="M21">
        <f t="shared" si="5"/>
        <v>45.82903861595737</v>
      </c>
      <c r="N21">
        <f t="shared" si="7"/>
        <v>2.401197167676473</v>
      </c>
      <c r="O21">
        <f t="shared" si="8"/>
        <v>0.20629243010438714</v>
      </c>
    </row>
    <row r="22" spans="1:15" ht="13.5">
      <c r="A22" s="14">
        <f t="shared" si="6"/>
        <v>19</v>
      </c>
      <c r="B22" s="7">
        <f t="shared" si="6"/>
        <v>20</v>
      </c>
      <c r="C22" s="7">
        <f t="shared" si="10"/>
        <v>48</v>
      </c>
      <c r="D22" s="14">
        <f t="shared" si="1"/>
        <v>400</v>
      </c>
      <c r="E22" s="14">
        <f t="shared" si="2"/>
        <v>2304</v>
      </c>
      <c r="F22" s="14">
        <f t="shared" si="3"/>
        <v>960</v>
      </c>
      <c r="K22">
        <f t="shared" si="0"/>
        <v>20</v>
      </c>
      <c r="L22">
        <f t="shared" si="4"/>
        <v>48</v>
      </c>
      <c r="M22">
        <f t="shared" si="5"/>
        <v>48.230235783633844</v>
      </c>
      <c r="N22">
        <f t="shared" si="7"/>
        <v>2.401197167676473</v>
      </c>
      <c r="O22">
        <f t="shared" si="8"/>
        <v>0.20629243010438714</v>
      </c>
    </row>
    <row r="23" spans="1:15" ht="13.5">
      <c r="A23" s="14">
        <f t="shared" si="6"/>
        <v>20</v>
      </c>
      <c r="B23" s="7">
        <f t="shared" si="6"/>
        <v>21</v>
      </c>
      <c r="C23" s="7">
        <f t="shared" si="10"/>
        <v>52</v>
      </c>
      <c r="D23" s="14">
        <f t="shared" si="1"/>
        <v>441</v>
      </c>
      <c r="E23" s="14">
        <f t="shared" si="2"/>
        <v>2704</v>
      </c>
      <c r="F23" s="14">
        <f t="shared" si="3"/>
        <v>1092</v>
      </c>
      <c r="K23">
        <f t="shared" si="0"/>
        <v>21</v>
      </c>
      <c r="L23">
        <f t="shared" si="4"/>
        <v>52</v>
      </c>
      <c r="M23">
        <f t="shared" si="5"/>
        <v>50.631432951310316</v>
      </c>
      <c r="N23">
        <f t="shared" si="7"/>
        <v>2.401197167676473</v>
      </c>
      <c r="O23">
        <f t="shared" si="8"/>
        <v>0.20629243010438714</v>
      </c>
    </row>
    <row r="24" spans="1:6" ht="13.5">
      <c r="A24" s="14" t="s">
        <v>13</v>
      </c>
      <c r="B24" s="14">
        <f>SUM(B4:B23)</f>
        <v>229</v>
      </c>
      <c r="C24" s="14">
        <f>SUM(C4:C23)</f>
        <v>554</v>
      </c>
      <c r="D24" s="14">
        <f>SUM(D4:D23)</f>
        <v>3307</v>
      </c>
      <c r="E24" s="14">
        <f>SUM(E4:E23)</f>
        <v>19374</v>
      </c>
      <c r="F24" s="14">
        <f>SUM(F4:F23)</f>
        <v>7988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30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19</v>
      </c>
      <c r="K4" t="s">
        <v>7</v>
      </c>
      <c r="L4">
        <f>MAX(MAX(B6:B35),MAX(D6:D35))</f>
        <v>27.5</v>
      </c>
    </row>
    <row r="5" spans="1:10" ht="13.5">
      <c r="A5" s="2" t="s">
        <v>88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>
        <v>19</v>
      </c>
      <c r="C6" s="2">
        <f aca="true" t="shared" si="0" ref="C6:C35">IF(F6="","",ROUNDDOWN((B6-G6+0.25)/F6+1,0))</f>
        <v>1</v>
      </c>
      <c r="D6" s="17">
        <v>21</v>
      </c>
      <c r="E6" s="2">
        <f aca="true" t="shared" si="1" ref="E6:E35">IF(F6="","",ROUNDDOWN((D6-G6+0.25)/F6+1,0))</f>
        <v>2</v>
      </c>
      <c r="F6" s="2">
        <f>J7</f>
        <v>1.5</v>
      </c>
      <c r="G6" s="2">
        <f>J4</f>
        <v>19</v>
      </c>
      <c r="I6" t="s">
        <v>10</v>
      </c>
      <c r="K6" t="s">
        <v>5</v>
      </c>
      <c r="L6">
        <f>SQRT(J3)</f>
        <v>5.477225575051661</v>
      </c>
      <c r="M6" s="13">
        <f>IF(J3&gt;0,LOG(J3,2)+1,"")</f>
        <v>5.906890595608519</v>
      </c>
      <c r="N6" t="s">
        <v>22</v>
      </c>
    </row>
    <row r="7" spans="1:12" ht="13.5">
      <c r="A7" s="2">
        <v>2</v>
      </c>
      <c r="B7" s="9">
        <v>19.5</v>
      </c>
      <c r="C7" s="2">
        <f t="shared" si="0"/>
        <v>1</v>
      </c>
      <c r="D7" s="17">
        <f>D6+0.5</f>
        <v>21.5</v>
      </c>
      <c r="E7" s="2">
        <f t="shared" si="1"/>
        <v>2</v>
      </c>
      <c r="F7" s="2">
        <f aca="true" t="shared" si="2" ref="F7:F35">F6</f>
        <v>1.5</v>
      </c>
      <c r="G7" s="2">
        <f aca="true" t="shared" si="3" ref="G7:G35">G6</f>
        <v>19</v>
      </c>
      <c r="I7" t="s">
        <v>8</v>
      </c>
      <c r="J7">
        <f>IF(J3&gt;0,ROUND(L7/J5,0)*J5,"")</f>
        <v>1.5</v>
      </c>
      <c r="K7" t="s">
        <v>9</v>
      </c>
      <c r="L7">
        <f>IF(L6&gt;0,(L4-J4)/L6,"")</f>
        <v>1.5518805795979707</v>
      </c>
    </row>
    <row r="8" spans="1:7" ht="13.5">
      <c r="A8" s="2">
        <v>3</v>
      </c>
      <c r="B8" s="9">
        <f aca="true" t="shared" si="4" ref="B8:B15">B7+0.5</f>
        <v>20</v>
      </c>
      <c r="C8" s="2">
        <f t="shared" si="0"/>
        <v>1</v>
      </c>
      <c r="D8" s="17">
        <f aca="true" t="shared" si="5" ref="D8:D15">D7+0.5</f>
        <v>22</v>
      </c>
      <c r="E8" s="2">
        <f t="shared" si="1"/>
        <v>3</v>
      </c>
      <c r="F8" s="2">
        <f t="shared" si="2"/>
        <v>1.5</v>
      </c>
      <c r="G8" s="2">
        <f t="shared" si="3"/>
        <v>19</v>
      </c>
    </row>
    <row r="9" spans="1:15" ht="13.5">
      <c r="A9" s="2">
        <v>4</v>
      </c>
      <c r="B9" s="9">
        <f t="shared" si="4"/>
        <v>20.5</v>
      </c>
      <c r="C9" s="2">
        <f t="shared" si="0"/>
        <v>2</v>
      </c>
      <c r="D9" s="17">
        <f t="shared" si="5"/>
        <v>22.5</v>
      </c>
      <c r="E9" s="2">
        <f t="shared" si="1"/>
        <v>3</v>
      </c>
      <c r="F9" s="2">
        <f t="shared" si="2"/>
        <v>1.5</v>
      </c>
      <c r="G9" s="2">
        <f t="shared" si="3"/>
        <v>19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>
        <f t="shared" si="4"/>
        <v>21</v>
      </c>
      <c r="C10" s="2">
        <f t="shared" si="0"/>
        <v>2</v>
      </c>
      <c r="D10" s="17">
        <f t="shared" si="5"/>
        <v>23</v>
      </c>
      <c r="E10" s="2">
        <f t="shared" si="1"/>
        <v>3</v>
      </c>
      <c r="F10" s="2">
        <f t="shared" si="2"/>
        <v>1.5</v>
      </c>
      <c r="G10" s="2">
        <f t="shared" si="3"/>
        <v>19</v>
      </c>
      <c r="I10" s="6">
        <v>1</v>
      </c>
      <c r="J10" s="8">
        <f>J4-J5/2</f>
        <v>18.75</v>
      </c>
      <c r="K10" s="8">
        <f>IF(N10="","",J10+N10)</f>
        <v>20.25</v>
      </c>
      <c r="L10" s="8">
        <f>IF(N10="","",(J10+K10)/2)</f>
        <v>19.5</v>
      </c>
      <c r="M10" s="8">
        <f>COUNTIF(C6:C35,"=1")</f>
        <v>4</v>
      </c>
      <c r="N10">
        <f>J7</f>
        <v>1.5</v>
      </c>
      <c r="O10">
        <f>L4</f>
        <v>27.5</v>
      </c>
    </row>
    <row r="11" spans="1:15" ht="13.5">
      <c r="A11" s="2">
        <v>6</v>
      </c>
      <c r="B11" s="9">
        <f t="shared" si="4"/>
        <v>21.5</v>
      </c>
      <c r="C11" s="2">
        <f t="shared" si="0"/>
        <v>2</v>
      </c>
      <c r="D11" s="17">
        <f t="shared" si="5"/>
        <v>23.5</v>
      </c>
      <c r="E11" s="2">
        <f t="shared" si="1"/>
        <v>4</v>
      </c>
      <c r="F11" s="2">
        <f t="shared" si="2"/>
        <v>1.5</v>
      </c>
      <c r="G11" s="2">
        <f t="shared" si="3"/>
        <v>19</v>
      </c>
      <c r="I11" s="4">
        <f aca="true" t="shared" si="6" ref="I11:I29">I10+1</f>
        <v>2</v>
      </c>
      <c r="J11" s="8">
        <f>IF(N11="","",IF(J10="","",IF(J10+N11&lt;O11,J10+N11,"")))</f>
        <v>20.25</v>
      </c>
      <c r="K11" s="8">
        <f aca="true" t="shared" si="7" ref="K11:K29">IF(J11&lt;O11,J11+N11,"")</f>
        <v>21.75</v>
      </c>
      <c r="L11" s="8">
        <f aca="true" t="shared" si="8" ref="L11:L29">IF(J11&lt;O11,J11+N11/2,"")</f>
        <v>21</v>
      </c>
      <c r="M11" s="8">
        <f>COUNTIF(C6:C35,"=2")</f>
        <v>8</v>
      </c>
      <c r="N11">
        <f aca="true" t="shared" si="9" ref="N11:N29">N10</f>
        <v>1.5</v>
      </c>
      <c r="O11">
        <f aca="true" t="shared" si="10" ref="O11:O29">O10</f>
        <v>27.5</v>
      </c>
    </row>
    <row r="12" spans="1:15" ht="13.5">
      <c r="A12" s="2">
        <v>7</v>
      </c>
      <c r="B12" s="9">
        <f t="shared" si="4"/>
        <v>22</v>
      </c>
      <c r="C12" s="2">
        <f t="shared" si="0"/>
        <v>3</v>
      </c>
      <c r="D12" s="17">
        <f t="shared" si="5"/>
        <v>24</v>
      </c>
      <c r="E12" s="2">
        <f t="shared" si="1"/>
        <v>4</v>
      </c>
      <c r="F12" s="2">
        <f t="shared" si="2"/>
        <v>1.5</v>
      </c>
      <c r="G12" s="2">
        <f t="shared" si="3"/>
        <v>19</v>
      </c>
      <c r="I12" s="4">
        <f t="shared" si="6"/>
        <v>3</v>
      </c>
      <c r="J12" s="8">
        <f aca="true" t="shared" si="11" ref="J12:J29">IF(J11="","",IF(J11+N12&lt;O12,J11+N12,""))</f>
        <v>21.75</v>
      </c>
      <c r="K12" s="8">
        <f t="shared" si="7"/>
        <v>23.25</v>
      </c>
      <c r="L12" s="8">
        <f t="shared" si="8"/>
        <v>22.5</v>
      </c>
      <c r="M12" s="8">
        <f>COUNTIF(C6:C35,"=3")</f>
        <v>9</v>
      </c>
      <c r="N12">
        <f t="shared" si="9"/>
        <v>1.5</v>
      </c>
      <c r="O12">
        <f t="shared" si="10"/>
        <v>27.5</v>
      </c>
    </row>
    <row r="13" spans="1:15" ht="13.5">
      <c r="A13" s="2">
        <v>8</v>
      </c>
      <c r="B13" s="9">
        <f t="shared" si="4"/>
        <v>22.5</v>
      </c>
      <c r="C13" s="2">
        <f t="shared" si="0"/>
        <v>3</v>
      </c>
      <c r="D13" s="17">
        <f t="shared" si="5"/>
        <v>24.5</v>
      </c>
      <c r="E13" s="2">
        <f t="shared" si="1"/>
        <v>4</v>
      </c>
      <c r="F13" s="2">
        <f t="shared" si="2"/>
        <v>1.5</v>
      </c>
      <c r="G13" s="2">
        <f t="shared" si="3"/>
        <v>19</v>
      </c>
      <c r="I13" s="4">
        <f t="shared" si="6"/>
        <v>4</v>
      </c>
      <c r="J13" s="8">
        <f t="shared" si="11"/>
        <v>23.25</v>
      </c>
      <c r="K13" s="8">
        <f t="shared" si="7"/>
        <v>24.75</v>
      </c>
      <c r="L13" s="8">
        <f t="shared" si="8"/>
        <v>24</v>
      </c>
      <c r="M13" s="8">
        <f>COUNTIF(C6:C35,"=4")</f>
        <v>7</v>
      </c>
      <c r="N13">
        <f t="shared" si="9"/>
        <v>1.5</v>
      </c>
      <c r="O13">
        <f t="shared" si="10"/>
        <v>27.5</v>
      </c>
    </row>
    <row r="14" spans="1:15" ht="13.5">
      <c r="A14" s="2">
        <v>9</v>
      </c>
      <c r="B14" s="9">
        <f t="shared" si="4"/>
        <v>23</v>
      </c>
      <c r="C14" s="2">
        <f t="shared" si="0"/>
        <v>3</v>
      </c>
      <c r="D14" s="17">
        <f t="shared" si="5"/>
        <v>25</v>
      </c>
      <c r="E14" s="2">
        <f t="shared" si="1"/>
        <v>5</v>
      </c>
      <c r="F14" s="2">
        <f t="shared" si="2"/>
        <v>1.5</v>
      </c>
      <c r="G14" s="2">
        <f t="shared" si="3"/>
        <v>19</v>
      </c>
      <c r="I14" s="4">
        <f t="shared" si="6"/>
        <v>5</v>
      </c>
      <c r="J14" s="8">
        <f t="shared" si="11"/>
        <v>24.75</v>
      </c>
      <c r="K14" s="8">
        <f t="shared" si="7"/>
        <v>26.25</v>
      </c>
      <c r="L14" s="8">
        <f t="shared" si="8"/>
        <v>25.5</v>
      </c>
      <c r="M14" s="8">
        <f>COUNTIF(C6:C35,"=5")</f>
        <v>2</v>
      </c>
      <c r="N14">
        <f t="shared" si="9"/>
        <v>1.5</v>
      </c>
      <c r="O14">
        <f t="shared" si="10"/>
        <v>27.5</v>
      </c>
    </row>
    <row r="15" spans="1:15" ht="13.5">
      <c r="A15" s="2">
        <v>10</v>
      </c>
      <c r="B15" s="9">
        <f t="shared" si="4"/>
        <v>23.5</v>
      </c>
      <c r="C15" s="2">
        <f t="shared" si="0"/>
        <v>4</v>
      </c>
      <c r="D15" s="17">
        <f t="shared" si="5"/>
        <v>25.5</v>
      </c>
      <c r="E15" s="2">
        <f t="shared" si="1"/>
        <v>5</v>
      </c>
      <c r="F15" s="2">
        <f t="shared" si="2"/>
        <v>1.5</v>
      </c>
      <c r="G15" s="2">
        <f t="shared" si="3"/>
        <v>19</v>
      </c>
      <c r="I15" s="4">
        <f t="shared" si="6"/>
        <v>6</v>
      </c>
      <c r="J15" s="8">
        <f t="shared" si="11"/>
        <v>26.25</v>
      </c>
      <c r="K15" s="8">
        <f t="shared" si="7"/>
        <v>27.75</v>
      </c>
      <c r="L15" s="8">
        <f t="shared" si="8"/>
        <v>27</v>
      </c>
      <c r="M15" s="8">
        <f>COUNTIF(C6:C35,"=6")</f>
        <v>0</v>
      </c>
      <c r="N15">
        <f t="shared" si="9"/>
        <v>1.5</v>
      </c>
      <c r="O15">
        <f t="shared" si="10"/>
        <v>27.5</v>
      </c>
    </row>
    <row r="16" spans="1:15" ht="13.5">
      <c r="A16" s="2">
        <v>11</v>
      </c>
      <c r="B16" s="9">
        <f>B6+1</f>
        <v>20</v>
      </c>
      <c r="C16" s="2">
        <f t="shared" si="0"/>
        <v>1</v>
      </c>
      <c r="D16" s="17">
        <f>D6+1</f>
        <v>22</v>
      </c>
      <c r="E16" s="2">
        <f t="shared" si="1"/>
        <v>3</v>
      </c>
      <c r="F16" s="2">
        <f t="shared" si="2"/>
        <v>1.5</v>
      </c>
      <c r="G16" s="2">
        <f t="shared" si="3"/>
        <v>19</v>
      </c>
      <c r="I16" s="4">
        <f t="shared" si="6"/>
        <v>7</v>
      </c>
      <c r="J16" s="8">
        <f t="shared" si="11"/>
      </c>
      <c r="K16" s="8">
        <f t="shared" si="7"/>
      </c>
      <c r="L16" s="8">
        <f t="shared" si="8"/>
      </c>
      <c r="M16" s="8">
        <f>COUNTIF(C6:C35,"=7")</f>
        <v>0</v>
      </c>
      <c r="N16">
        <f t="shared" si="9"/>
        <v>1.5</v>
      </c>
      <c r="O16">
        <f t="shared" si="10"/>
        <v>27.5</v>
      </c>
    </row>
    <row r="17" spans="1:15" ht="13.5">
      <c r="A17" s="2">
        <v>12</v>
      </c>
      <c r="B17" s="9">
        <f aca="true" t="shared" si="12" ref="B17:B35">B7+1</f>
        <v>20.5</v>
      </c>
      <c r="C17" s="2">
        <f t="shared" si="0"/>
        <v>2</v>
      </c>
      <c r="D17" s="17">
        <f aca="true" t="shared" si="13" ref="D17:D35">D7+1</f>
        <v>22.5</v>
      </c>
      <c r="E17" s="2">
        <f t="shared" si="1"/>
        <v>3</v>
      </c>
      <c r="F17" s="2">
        <f t="shared" si="2"/>
        <v>1.5</v>
      </c>
      <c r="G17" s="2">
        <f t="shared" si="3"/>
        <v>19</v>
      </c>
      <c r="I17" s="4">
        <f t="shared" si="6"/>
        <v>8</v>
      </c>
      <c r="J17" s="8">
        <f t="shared" si="11"/>
      </c>
      <c r="K17" s="8">
        <f t="shared" si="7"/>
      </c>
      <c r="L17" s="8">
        <f t="shared" si="8"/>
      </c>
      <c r="M17" s="8">
        <f>COUNTIF(C6:C35,"=8")</f>
        <v>0</v>
      </c>
      <c r="N17">
        <f t="shared" si="9"/>
        <v>1.5</v>
      </c>
      <c r="O17">
        <f t="shared" si="10"/>
        <v>27.5</v>
      </c>
    </row>
    <row r="18" spans="1:15" ht="13.5">
      <c r="A18" s="2">
        <v>13</v>
      </c>
      <c r="B18" s="9">
        <f t="shared" si="12"/>
        <v>21</v>
      </c>
      <c r="C18" s="2">
        <f t="shared" si="0"/>
        <v>2</v>
      </c>
      <c r="D18" s="17">
        <f t="shared" si="13"/>
        <v>23</v>
      </c>
      <c r="E18" s="2">
        <f t="shared" si="1"/>
        <v>3</v>
      </c>
      <c r="F18" s="2">
        <f t="shared" si="2"/>
        <v>1.5</v>
      </c>
      <c r="G18" s="2">
        <f t="shared" si="3"/>
        <v>19</v>
      </c>
      <c r="I18" s="4">
        <f t="shared" si="6"/>
        <v>9</v>
      </c>
      <c r="J18" s="8">
        <f t="shared" si="11"/>
      </c>
      <c r="K18" s="8">
        <f t="shared" si="7"/>
      </c>
      <c r="L18" s="8">
        <f t="shared" si="8"/>
      </c>
      <c r="M18" s="8">
        <f>COUNTIF(C6:C35,"=9")</f>
        <v>0</v>
      </c>
      <c r="N18">
        <f t="shared" si="9"/>
        <v>1.5</v>
      </c>
      <c r="O18">
        <f t="shared" si="10"/>
        <v>27.5</v>
      </c>
    </row>
    <row r="19" spans="1:15" ht="13.5">
      <c r="A19" s="2">
        <v>14</v>
      </c>
      <c r="B19" s="9">
        <f t="shared" si="12"/>
        <v>21.5</v>
      </c>
      <c r="C19" s="2">
        <f t="shared" si="0"/>
        <v>2</v>
      </c>
      <c r="D19" s="17">
        <f t="shared" si="13"/>
        <v>23.5</v>
      </c>
      <c r="E19" s="2">
        <f t="shared" si="1"/>
        <v>4</v>
      </c>
      <c r="F19" s="2">
        <f t="shared" si="2"/>
        <v>1.5</v>
      </c>
      <c r="G19" s="2">
        <f t="shared" si="3"/>
        <v>19</v>
      </c>
      <c r="I19" s="4">
        <f t="shared" si="6"/>
        <v>10</v>
      </c>
      <c r="J19" s="8">
        <f t="shared" si="11"/>
      </c>
      <c r="K19" s="8">
        <f t="shared" si="7"/>
      </c>
      <c r="L19" s="8">
        <f t="shared" si="8"/>
      </c>
      <c r="M19" s="8">
        <f>COUNTIF(C6:C35,"=10")</f>
        <v>0</v>
      </c>
      <c r="N19">
        <f t="shared" si="9"/>
        <v>1.5</v>
      </c>
      <c r="O19">
        <f t="shared" si="10"/>
        <v>27.5</v>
      </c>
    </row>
    <row r="20" spans="1:15" ht="13.5">
      <c r="A20" s="2">
        <v>15</v>
      </c>
      <c r="B20" s="9">
        <f t="shared" si="12"/>
        <v>22</v>
      </c>
      <c r="C20" s="2">
        <f t="shared" si="0"/>
        <v>3</v>
      </c>
      <c r="D20" s="17">
        <f t="shared" si="13"/>
        <v>24</v>
      </c>
      <c r="E20" s="2">
        <f t="shared" si="1"/>
        <v>4</v>
      </c>
      <c r="F20" s="2">
        <f t="shared" si="2"/>
        <v>1.5</v>
      </c>
      <c r="G20" s="2">
        <f t="shared" si="3"/>
        <v>19</v>
      </c>
      <c r="I20" s="4">
        <f t="shared" si="6"/>
        <v>11</v>
      </c>
      <c r="J20" s="8">
        <f t="shared" si="11"/>
      </c>
      <c r="K20" s="8">
        <f t="shared" si="7"/>
      </c>
      <c r="L20" s="8">
        <f t="shared" si="8"/>
      </c>
      <c r="M20" s="8">
        <f>COUNTIF(C6:C35,"=11")</f>
        <v>0</v>
      </c>
      <c r="N20">
        <f t="shared" si="9"/>
        <v>1.5</v>
      </c>
      <c r="O20">
        <f t="shared" si="10"/>
        <v>27.5</v>
      </c>
    </row>
    <row r="21" spans="1:15" ht="13.5">
      <c r="A21" s="2">
        <v>16</v>
      </c>
      <c r="B21" s="9">
        <f t="shared" si="12"/>
        <v>22.5</v>
      </c>
      <c r="C21" s="2">
        <f t="shared" si="0"/>
        <v>3</v>
      </c>
      <c r="D21" s="17">
        <f t="shared" si="13"/>
        <v>24.5</v>
      </c>
      <c r="E21" s="2">
        <f t="shared" si="1"/>
        <v>4</v>
      </c>
      <c r="F21" s="2">
        <f t="shared" si="2"/>
        <v>1.5</v>
      </c>
      <c r="G21" s="2">
        <f t="shared" si="3"/>
        <v>19</v>
      </c>
      <c r="I21" s="4">
        <f t="shared" si="6"/>
        <v>12</v>
      </c>
      <c r="J21" s="8">
        <f t="shared" si="11"/>
      </c>
      <c r="K21" s="8">
        <f t="shared" si="7"/>
      </c>
      <c r="L21" s="8">
        <f t="shared" si="8"/>
      </c>
      <c r="M21" s="8">
        <f>COUNTIF(C6:C35,"=12")</f>
        <v>0</v>
      </c>
      <c r="N21">
        <f t="shared" si="9"/>
        <v>1.5</v>
      </c>
      <c r="O21">
        <f t="shared" si="10"/>
        <v>27.5</v>
      </c>
    </row>
    <row r="22" spans="1:15" ht="13.5">
      <c r="A22" s="2">
        <v>17</v>
      </c>
      <c r="B22" s="9">
        <f t="shared" si="12"/>
        <v>23</v>
      </c>
      <c r="C22" s="2">
        <f t="shared" si="0"/>
        <v>3</v>
      </c>
      <c r="D22" s="17">
        <f t="shared" si="13"/>
        <v>25</v>
      </c>
      <c r="E22" s="2">
        <f t="shared" si="1"/>
        <v>5</v>
      </c>
      <c r="F22" s="2">
        <f t="shared" si="2"/>
        <v>1.5</v>
      </c>
      <c r="G22" s="2">
        <f t="shared" si="3"/>
        <v>19</v>
      </c>
      <c r="I22" s="4">
        <f t="shared" si="6"/>
        <v>13</v>
      </c>
      <c r="J22" s="8">
        <f t="shared" si="11"/>
      </c>
      <c r="K22" s="8">
        <f t="shared" si="7"/>
      </c>
      <c r="L22" s="8">
        <f t="shared" si="8"/>
      </c>
      <c r="M22" s="8">
        <f>COUNTIF(C6:C35,"=13")</f>
        <v>0</v>
      </c>
      <c r="N22">
        <f t="shared" si="9"/>
        <v>1.5</v>
      </c>
      <c r="O22">
        <f t="shared" si="10"/>
        <v>27.5</v>
      </c>
    </row>
    <row r="23" spans="1:15" ht="13.5">
      <c r="A23" s="2">
        <v>18</v>
      </c>
      <c r="B23" s="9">
        <f t="shared" si="12"/>
        <v>23.5</v>
      </c>
      <c r="C23" s="2">
        <f t="shared" si="0"/>
        <v>4</v>
      </c>
      <c r="D23" s="17">
        <f t="shared" si="13"/>
        <v>25.5</v>
      </c>
      <c r="E23" s="2">
        <f t="shared" si="1"/>
        <v>5</v>
      </c>
      <c r="F23" s="2">
        <f t="shared" si="2"/>
        <v>1.5</v>
      </c>
      <c r="G23" s="2">
        <f t="shared" si="3"/>
        <v>19</v>
      </c>
      <c r="I23" s="4">
        <f t="shared" si="6"/>
        <v>14</v>
      </c>
      <c r="J23" s="8">
        <f t="shared" si="11"/>
      </c>
      <c r="K23" s="8">
        <f t="shared" si="7"/>
      </c>
      <c r="L23" s="8">
        <f t="shared" si="8"/>
      </c>
      <c r="M23" s="8">
        <f>COUNTIF(C6:C35,"=14")</f>
        <v>0</v>
      </c>
      <c r="N23">
        <f t="shared" si="9"/>
        <v>1.5</v>
      </c>
      <c r="O23">
        <f t="shared" si="10"/>
        <v>27.5</v>
      </c>
    </row>
    <row r="24" spans="1:15" ht="13.5">
      <c r="A24" s="2">
        <v>19</v>
      </c>
      <c r="B24" s="9">
        <f t="shared" si="12"/>
        <v>24</v>
      </c>
      <c r="C24" s="2">
        <f t="shared" si="0"/>
        <v>4</v>
      </c>
      <c r="D24" s="17">
        <f t="shared" si="13"/>
        <v>26</v>
      </c>
      <c r="E24" s="2">
        <f t="shared" si="1"/>
        <v>5</v>
      </c>
      <c r="F24" s="2">
        <f t="shared" si="2"/>
        <v>1.5</v>
      </c>
      <c r="G24" s="2">
        <f t="shared" si="3"/>
        <v>19</v>
      </c>
      <c r="I24" s="4">
        <f t="shared" si="6"/>
        <v>15</v>
      </c>
      <c r="J24" s="8">
        <f t="shared" si="11"/>
      </c>
      <c r="K24" s="8">
        <f t="shared" si="7"/>
      </c>
      <c r="L24" s="8">
        <f t="shared" si="8"/>
      </c>
      <c r="M24" s="8">
        <f>COUNTIF(C6:C35,"=15")</f>
        <v>0</v>
      </c>
      <c r="N24">
        <f t="shared" si="9"/>
        <v>1.5</v>
      </c>
      <c r="O24">
        <f t="shared" si="10"/>
        <v>27.5</v>
      </c>
    </row>
    <row r="25" spans="1:15" ht="13.5">
      <c r="A25" s="2">
        <v>20</v>
      </c>
      <c r="B25" s="9">
        <f t="shared" si="12"/>
        <v>24.5</v>
      </c>
      <c r="C25" s="2">
        <f t="shared" si="0"/>
        <v>4</v>
      </c>
      <c r="D25" s="17">
        <f t="shared" si="13"/>
        <v>26.5</v>
      </c>
      <c r="E25" s="2">
        <f t="shared" si="1"/>
        <v>6</v>
      </c>
      <c r="F25" s="2">
        <f t="shared" si="2"/>
        <v>1.5</v>
      </c>
      <c r="G25" s="2">
        <f t="shared" si="3"/>
        <v>19</v>
      </c>
      <c r="I25" s="4">
        <f t="shared" si="6"/>
        <v>16</v>
      </c>
      <c r="J25" s="8">
        <f t="shared" si="11"/>
      </c>
      <c r="K25" s="8">
        <f t="shared" si="7"/>
      </c>
      <c r="L25" s="8">
        <f t="shared" si="8"/>
      </c>
      <c r="M25" s="8">
        <f>COUNTIF(C6:C35,"=16")</f>
        <v>0</v>
      </c>
      <c r="N25">
        <f t="shared" si="9"/>
        <v>1.5</v>
      </c>
      <c r="O25">
        <f t="shared" si="10"/>
        <v>27.5</v>
      </c>
    </row>
    <row r="26" spans="1:15" ht="13.5">
      <c r="A26" s="2">
        <v>21</v>
      </c>
      <c r="B26" s="9">
        <f t="shared" si="12"/>
        <v>21</v>
      </c>
      <c r="C26" s="2">
        <f t="shared" si="0"/>
        <v>2</v>
      </c>
      <c r="D26" s="17">
        <f t="shared" si="13"/>
        <v>23</v>
      </c>
      <c r="E26" s="2">
        <f t="shared" si="1"/>
        <v>3</v>
      </c>
      <c r="F26" s="2">
        <f t="shared" si="2"/>
        <v>1.5</v>
      </c>
      <c r="G26" s="2">
        <f t="shared" si="3"/>
        <v>19</v>
      </c>
      <c r="I26" s="4">
        <f t="shared" si="6"/>
        <v>17</v>
      </c>
      <c r="J26" s="8">
        <f t="shared" si="11"/>
      </c>
      <c r="K26" s="8">
        <f t="shared" si="7"/>
      </c>
      <c r="L26" s="8">
        <f t="shared" si="8"/>
      </c>
      <c r="M26" s="8">
        <f>COUNTIF(C6:C35,"=17")</f>
        <v>0</v>
      </c>
      <c r="N26">
        <f t="shared" si="9"/>
        <v>1.5</v>
      </c>
      <c r="O26">
        <f t="shared" si="10"/>
        <v>27.5</v>
      </c>
    </row>
    <row r="27" spans="1:15" ht="13.5">
      <c r="A27" s="2">
        <v>22</v>
      </c>
      <c r="B27" s="9">
        <f t="shared" si="12"/>
        <v>21.5</v>
      </c>
      <c r="C27" s="2">
        <f t="shared" si="0"/>
        <v>2</v>
      </c>
      <c r="D27" s="17">
        <f t="shared" si="13"/>
        <v>23.5</v>
      </c>
      <c r="E27" s="2">
        <f t="shared" si="1"/>
        <v>4</v>
      </c>
      <c r="F27" s="2">
        <f t="shared" si="2"/>
        <v>1.5</v>
      </c>
      <c r="G27" s="2">
        <f t="shared" si="3"/>
        <v>19</v>
      </c>
      <c r="I27" s="4">
        <f t="shared" si="6"/>
        <v>18</v>
      </c>
      <c r="J27" s="8">
        <f t="shared" si="11"/>
      </c>
      <c r="K27" s="8">
        <f t="shared" si="7"/>
      </c>
      <c r="L27" s="8">
        <f t="shared" si="8"/>
      </c>
      <c r="M27" s="8">
        <f>COUNTIF(C6:C35,"=18")</f>
        <v>0</v>
      </c>
      <c r="N27">
        <f t="shared" si="9"/>
        <v>1.5</v>
      </c>
      <c r="O27">
        <f t="shared" si="10"/>
        <v>27.5</v>
      </c>
    </row>
    <row r="28" spans="1:15" ht="13.5">
      <c r="A28" s="2">
        <v>23</v>
      </c>
      <c r="B28" s="9">
        <f t="shared" si="12"/>
        <v>22</v>
      </c>
      <c r="C28" s="2">
        <f t="shared" si="0"/>
        <v>3</v>
      </c>
      <c r="D28" s="17">
        <f t="shared" si="13"/>
        <v>24</v>
      </c>
      <c r="E28" s="2">
        <f t="shared" si="1"/>
        <v>4</v>
      </c>
      <c r="F28" s="2">
        <f t="shared" si="2"/>
        <v>1.5</v>
      </c>
      <c r="G28" s="2">
        <f t="shared" si="3"/>
        <v>19</v>
      </c>
      <c r="I28" s="4">
        <f t="shared" si="6"/>
        <v>19</v>
      </c>
      <c r="J28" s="8">
        <f t="shared" si="11"/>
      </c>
      <c r="K28" s="8">
        <f t="shared" si="7"/>
      </c>
      <c r="L28" s="8">
        <f t="shared" si="8"/>
      </c>
      <c r="M28" s="8">
        <f>COUNTIF(C6:C35,"=19")</f>
        <v>0</v>
      </c>
      <c r="N28">
        <f t="shared" si="9"/>
        <v>1.5</v>
      </c>
      <c r="O28">
        <f t="shared" si="10"/>
        <v>27.5</v>
      </c>
    </row>
    <row r="29" spans="1:15" ht="13.5">
      <c r="A29" s="2">
        <v>24</v>
      </c>
      <c r="B29" s="9">
        <f t="shared" si="12"/>
        <v>22.5</v>
      </c>
      <c r="C29" s="2">
        <f t="shared" si="0"/>
        <v>3</v>
      </c>
      <c r="D29" s="17">
        <f t="shared" si="13"/>
        <v>24.5</v>
      </c>
      <c r="E29" s="2">
        <f t="shared" si="1"/>
        <v>4</v>
      </c>
      <c r="F29" s="2">
        <f t="shared" si="2"/>
        <v>1.5</v>
      </c>
      <c r="G29" s="2">
        <f t="shared" si="3"/>
        <v>19</v>
      </c>
      <c r="I29" s="4">
        <f t="shared" si="6"/>
        <v>20</v>
      </c>
      <c r="J29" s="8">
        <f t="shared" si="11"/>
      </c>
      <c r="K29" s="8">
        <f t="shared" si="7"/>
      </c>
      <c r="L29" s="8">
        <f t="shared" si="8"/>
      </c>
      <c r="M29" s="8">
        <f>COUNTIF(C6:C35,"=20")</f>
        <v>0</v>
      </c>
      <c r="N29">
        <f t="shared" si="9"/>
        <v>1.5</v>
      </c>
      <c r="O29">
        <f t="shared" si="10"/>
        <v>27.5</v>
      </c>
    </row>
    <row r="30" spans="1:13" ht="13.5">
      <c r="A30" s="2">
        <v>25</v>
      </c>
      <c r="B30" s="9">
        <f t="shared" si="12"/>
        <v>23</v>
      </c>
      <c r="C30" s="2">
        <f t="shared" si="0"/>
        <v>3</v>
      </c>
      <c r="D30" s="17">
        <f t="shared" si="13"/>
        <v>25</v>
      </c>
      <c r="E30" s="2">
        <f t="shared" si="1"/>
        <v>5</v>
      </c>
      <c r="F30" s="2">
        <f t="shared" si="2"/>
        <v>1.5</v>
      </c>
      <c r="G30" s="2">
        <f t="shared" si="3"/>
        <v>19</v>
      </c>
      <c r="I30" s="7" t="s">
        <v>13</v>
      </c>
      <c r="J30" s="4"/>
      <c r="K30" s="4"/>
      <c r="L30" s="4"/>
      <c r="M30" s="7">
        <f>SUM(M10:M29)</f>
        <v>30</v>
      </c>
    </row>
    <row r="31" spans="1:7" ht="13.5">
      <c r="A31" s="2">
        <v>26</v>
      </c>
      <c r="B31" s="9">
        <f t="shared" si="12"/>
        <v>23.5</v>
      </c>
      <c r="C31" s="2">
        <f t="shared" si="0"/>
        <v>4</v>
      </c>
      <c r="D31" s="17">
        <f t="shared" si="13"/>
        <v>25.5</v>
      </c>
      <c r="E31" s="2">
        <f t="shared" si="1"/>
        <v>5</v>
      </c>
      <c r="F31" s="2">
        <f t="shared" si="2"/>
        <v>1.5</v>
      </c>
      <c r="G31" s="2">
        <f t="shared" si="3"/>
        <v>19</v>
      </c>
    </row>
    <row r="32" spans="1:7" ht="13.5">
      <c r="A32" s="2">
        <v>27</v>
      </c>
      <c r="B32" s="9">
        <f t="shared" si="12"/>
        <v>24</v>
      </c>
      <c r="C32" s="2">
        <f t="shared" si="0"/>
        <v>4</v>
      </c>
      <c r="D32" s="17">
        <f t="shared" si="13"/>
        <v>26</v>
      </c>
      <c r="E32" s="2">
        <f t="shared" si="1"/>
        <v>5</v>
      </c>
      <c r="F32" s="2">
        <f t="shared" si="2"/>
        <v>1.5</v>
      </c>
      <c r="G32" s="2">
        <f t="shared" si="3"/>
        <v>19</v>
      </c>
    </row>
    <row r="33" spans="1:10" ht="13.5">
      <c r="A33" s="2">
        <v>28</v>
      </c>
      <c r="B33" s="9">
        <f t="shared" si="12"/>
        <v>24.5</v>
      </c>
      <c r="C33" s="2">
        <f t="shared" si="0"/>
        <v>4</v>
      </c>
      <c r="D33" s="17">
        <f t="shared" si="13"/>
        <v>26.5</v>
      </c>
      <c r="E33" s="2">
        <f t="shared" si="1"/>
        <v>6</v>
      </c>
      <c r="F33" s="2">
        <f t="shared" si="2"/>
        <v>1.5</v>
      </c>
      <c r="G33" s="2">
        <f t="shared" si="3"/>
        <v>19</v>
      </c>
      <c r="I33" t="s">
        <v>6</v>
      </c>
      <c r="J33">
        <f>COUNTIF(D6:D35,"&gt;0")</f>
        <v>30</v>
      </c>
    </row>
    <row r="34" spans="1:12" ht="13.5">
      <c r="A34" s="2">
        <v>29</v>
      </c>
      <c r="B34" s="9">
        <f t="shared" si="12"/>
        <v>25</v>
      </c>
      <c r="C34" s="2">
        <f t="shared" si="0"/>
        <v>5</v>
      </c>
      <c r="D34" s="17">
        <f t="shared" si="13"/>
        <v>27</v>
      </c>
      <c r="E34" s="2">
        <f t="shared" si="1"/>
        <v>6</v>
      </c>
      <c r="F34" s="2">
        <f t="shared" si="2"/>
        <v>1.5</v>
      </c>
      <c r="G34" s="2">
        <f t="shared" si="3"/>
        <v>19</v>
      </c>
      <c r="I34" t="s">
        <v>1</v>
      </c>
      <c r="J34">
        <f>J4</f>
        <v>19</v>
      </c>
      <c r="K34" t="s">
        <v>7</v>
      </c>
      <c r="L34">
        <f>L4</f>
        <v>27.5</v>
      </c>
    </row>
    <row r="35" spans="1:10" ht="13.5">
      <c r="A35" s="2">
        <v>30</v>
      </c>
      <c r="B35" s="9">
        <f t="shared" si="12"/>
        <v>25.5</v>
      </c>
      <c r="C35" s="2">
        <f t="shared" si="0"/>
        <v>5</v>
      </c>
      <c r="D35" s="17">
        <f t="shared" si="13"/>
        <v>27.5</v>
      </c>
      <c r="E35" s="2">
        <f t="shared" si="1"/>
        <v>6</v>
      </c>
      <c r="F35" s="2">
        <f t="shared" si="2"/>
        <v>1.5</v>
      </c>
      <c r="G35" s="2">
        <f t="shared" si="3"/>
        <v>19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5.477225575051661</v>
      </c>
      <c r="M36" s="13">
        <f>IF(J33&gt;0,LOG(J33,2)+1,"")</f>
        <v>5.906890595608519</v>
      </c>
      <c r="N36" t="s">
        <v>22</v>
      </c>
    </row>
    <row r="37" spans="9:12" ht="13.5">
      <c r="I37" t="s">
        <v>8</v>
      </c>
      <c r="J37">
        <f>IF(J33&gt;0,ROUND(L37/J35,0)*J35,"")</f>
        <v>1.5</v>
      </c>
      <c r="K37" t="s">
        <v>9</v>
      </c>
      <c r="L37">
        <f>IF(L36&gt;0,(L34-J34)/L36,"")</f>
        <v>1.5518805795979707</v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18.75</v>
      </c>
      <c r="K40" s="8">
        <f>IF(N40="","",J40+N40)</f>
        <v>20.25</v>
      </c>
      <c r="L40" s="8">
        <f>IF(N40="","",(J40+K40)/2)</f>
        <v>19.5</v>
      </c>
      <c r="M40" s="8">
        <f>COUNTIF(E6:E35,"=1")</f>
        <v>0</v>
      </c>
      <c r="N40">
        <f>J37</f>
        <v>1.5</v>
      </c>
      <c r="O40">
        <f>L34</f>
        <v>27.5</v>
      </c>
    </row>
    <row r="41" spans="9:15" ht="13.5">
      <c r="I41" s="4">
        <f aca="true" t="shared" si="14" ref="I41:I59">I40+1</f>
        <v>2</v>
      </c>
      <c r="J41" s="8">
        <f>IF(N41="","",IF(J40="","",IF(J40+N41&lt;O41,J40+N41,"")))</f>
        <v>20.25</v>
      </c>
      <c r="K41" s="8">
        <f aca="true" t="shared" si="15" ref="K41:K59">IF(J41&lt;O41,J41+N41,"")</f>
        <v>21.75</v>
      </c>
      <c r="L41" s="8">
        <f aca="true" t="shared" si="16" ref="L41:L59">IF(J41&lt;O41,J41+N41/2,"")</f>
        <v>21</v>
      </c>
      <c r="M41" s="8">
        <f>COUNTIF(E6:E35,"=2")</f>
        <v>2</v>
      </c>
      <c r="N41">
        <f aca="true" t="shared" si="17" ref="N41:N59">N40</f>
        <v>1.5</v>
      </c>
      <c r="O41">
        <f aca="true" t="shared" si="18" ref="O41:O59">O40</f>
        <v>27.5</v>
      </c>
    </row>
    <row r="42" spans="9:15" ht="13.5">
      <c r="I42" s="4">
        <f t="shared" si="14"/>
        <v>3</v>
      </c>
      <c r="J42" s="8">
        <f aca="true" t="shared" si="19" ref="J42:J59">IF(J41="","",IF(J41+N42&lt;O42,J41+N42,""))</f>
        <v>21.75</v>
      </c>
      <c r="K42" s="8">
        <f t="shared" si="15"/>
        <v>23.25</v>
      </c>
      <c r="L42" s="8">
        <f t="shared" si="16"/>
        <v>22.5</v>
      </c>
      <c r="M42" s="8">
        <f>COUNTIF(E6:E35,"=3")</f>
        <v>7</v>
      </c>
      <c r="N42">
        <f t="shared" si="17"/>
        <v>1.5</v>
      </c>
      <c r="O42">
        <f t="shared" si="18"/>
        <v>27.5</v>
      </c>
    </row>
    <row r="43" spans="9:15" ht="13.5">
      <c r="I43" s="4">
        <f t="shared" si="14"/>
        <v>4</v>
      </c>
      <c r="J43" s="8">
        <f t="shared" si="19"/>
        <v>23.25</v>
      </c>
      <c r="K43" s="8">
        <f t="shared" si="15"/>
        <v>24.75</v>
      </c>
      <c r="L43" s="8">
        <f t="shared" si="16"/>
        <v>24</v>
      </c>
      <c r="M43" s="8">
        <f>COUNTIF(E6:E35,"=4")</f>
        <v>9</v>
      </c>
      <c r="N43">
        <f t="shared" si="17"/>
        <v>1.5</v>
      </c>
      <c r="O43">
        <f t="shared" si="18"/>
        <v>27.5</v>
      </c>
    </row>
    <row r="44" spans="9:15" ht="13.5">
      <c r="I44" s="4">
        <f t="shared" si="14"/>
        <v>5</v>
      </c>
      <c r="J44" s="8">
        <f t="shared" si="19"/>
        <v>24.75</v>
      </c>
      <c r="K44" s="8">
        <f t="shared" si="15"/>
        <v>26.25</v>
      </c>
      <c r="L44" s="8">
        <f t="shared" si="16"/>
        <v>25.5</v>
      </c>
      <c r="M44" s="8">
        <f>COUNTIF(E6:E35,"=5")</f>
        <v>8</v>
      </c>
      <c r="N44">
        <f t="shared" si="17"/>
        <v>1.5</v>
      </c>
      <c r="O44">
        <f t="shared" si="18"/>
        <v>27.5</v>
      </c>
    </row>
    <row r="45" spans="9:15" ht="13.5">
      <c r="I45" s="4">
        <f t="shared" si="14"/>
        <v>6</v>
      </c>
      <c r="J45" s="8">
        <f t="shared" si="19"/>
        <v>26.25</v>
      </c>
      <c r="K45" s="8">
        <f t="shared" si="15"/>
        <v>27.75</v>
      </c>
      <c r="L45" s="8">
        <f t="shared" si="16"/>
        <v>27</v>
      </c>
      <c r="M45" s="8">
        <f>COUNTIF(E6:E35,"=6")</f>
        <v>4</v>
      </c>
      <c r="N45">
        <f t="shared" si="17"/>
        <v>1.5</v>
      </c>
      <c r="O45">
        <f t="shared" si="18"/>
        <v>27.5</v>
      </c>
    </row>
    <row r="46" spans="9:15" ht="13.5">
      <c r="I46" s="4">
        <f t="shared" si="14"/>
        <v>7</v>
      </c>
      <c r="J46" s="8">
        <f t="shared" si="19"/>
      </c>
      <c r="K46" s="8">
        <f t="shared" si="15"/>
      </c>
      <c r="L46" s="8">
        <f t="shared" si="16"/>
      </c>
      <c r="M46" s="8">
        <f>COUNTIF(E6:E35,"=7")</f>
        <v>0</v>
      </c>
      <c r="N46">
        <f t="shared" si="17"/>
        <v>1.5</v>
      </c>
      <c r="O46">
        <f t="shared" si="18"/>
        <v>27.5</v>
      </c>
    </row>
    <row r="47" spans="9:15" ht="13.5">
      <c r="I47" s="4">
        <f t="shared" si="14"/>
        <v>8</v>
      </c>
      <c r="J47" s="8">
        <f t="shared" si="19"/>
      </c>
      <c r="K47" s="8">
        <f t="shared" si="15"/>
      </c>
      <c r="L47" s="8">
        <f t="shared" si="16"/>
      </c>
      <c r="M47" s="8">
        <f>COUNTIF(E6:E35,"=8")</f>
        <v>0</v>
      </c>
      <c r="N47">
        <f t="shared" si="17"/>
        <v>1.5</v>
      </c>
      <c r="O47">
        <f t="shared" si="18"/>
        <v>27.5</v>
      </c>
    </row>
    <row r="48" spans="9:15" ht="13.5">
      <c r="I48" s="4">
        <f t="shared" si="14"/>
        <v>9</v>
      </c>
      <c r="J48" s="8">
        <f t="shared" si="19"/>
      </c>
      <c r="K48" s="8">
        <f t="shared" si="15"/>
      </c>
      <c r="L48" s="8">
        <f t="shared" si="16"/>
      </c>
      <c r="M48" s="8">
        <f>COUNTIF(E6:E35,"=9")</f>
        <v>0</v>
      </c>
      <c r="N48">
        <f t="shared" si="17"/>
        <v>1.5</v>
      </c>
      <c r="O48">
        <f t="shared" si="18"/>
        <v>27.5</v>
      </c>
    </row>
    <row r="49" spans="9:15" ht="13.5">
      <c r="I49" s="4">
        <f t="shared" si="14"/>
        <v>10</v>
      </c>
      <c r="J49" s="8">
        <f t="shared" si="19"/>
      </c>
      <c r="K49" s="8">
        <f t="shared" si="15"/>
      </c>
      <c r="L49" s="8">
        <f t="shared" si="16"/>
      </c>
      <c r="M49" s="8">
        <f>COUNTIF(E6:E35,"=10")</f>
        <v>0</v>
      </c>
      <c r="N49">
        <f t="shared" si="17"/>
        <v>1.5</v>
      </c>
      <c r="O49">
        <f t="shared" si="18"/>
        <v>27.5</v>
      </c>
    </row>
    <row r="50" spans="9:15" ht="13.5">
      <c r="I50" s="4">
        <f t="shared" si="14"/>
        <v>11</v>
      </c>
      <c r="J50" s="8">
        <f t="shared" si="19"/>
      </c>
      <c r="K50" s="8">
        <f t="shared" si="15"/>
      </c>
      <c r="L50" s="8">
        <f t="shared" si="16"/>
      </c>
      <c r="M50" s="8">
        <f>COUNTIF(E6:E35,"=11")</f>
        <v>0</v>
      </c>
      <c r="N50">
        <f t="shared" si="17"/>
        <v>1.5</v>
      </c>
      <c r="O50">
        <f t="shared" si="18"/>
        <v>27.5</v>
      </c>
    </row>
    <row r="51" spans="9:15" ht="13.5">
      <c r="I51" s="4">
        <f t="shared" si="14"/>
        <v>12</v>
      </c>
      <c r="J51" s="8">
        <f t="shared" si="19"/>
      </c>
      <c r="K51" s="8">
        <f t="shared" si="15"/>
      </c>
      <c r="L51" s="8">
        <f t="shared" si="16"/>
      </c>
      <c r="M51" s="8">
        <f>COUNTIF(E6:E35,"=12")</f>
        <v>0</v>
      </c>
      <c r="N51">
        <f t="shared" si="17"/>
        <v>1.5</v>
      </c>
      <c r="O51">
        <f t="shared" si="18"/>
        <v>27.5</v>
      </c>
    </row>
    <row r="52" spans="9:15" ht="13.5">
      <c r="I52" s="4">
        <f t="shared" si="14"/>
        <v>13</v>
      </c>
      <c r="J52" s="8">
        <f t="shared" si="19"/>
      </c>
      <c r="K52" s="8">
        <f t="shared" si="15"/>
      </c>
      <c r="L52" s="8">
        <f t="shared" si="16"/>
      </c>
      <c r="M52" s="8">
        <f>COUNTIF(E6:E35,"=13")</f>
        <v>0</v>
      </c>
      <c r="N52">
        <f t="shared" si="17"/>
        <v>1.5</v>
      </c>
      <c r="O52">
        <f t="shared" si="18"/>
        <v>27.5</v>
      </c>
    </row>
    <row r="53" spans="9:15" ht="13.5">
      <c r="I53" s="4">
        <f t="shared" si="14"/>
        <v>14</v>
      </c>
      <c r="J53" s="8">
        <f t="shared" si="19"/>
      </c>
      <c r="K53" s="8">
        <f t="shared" si="15"/>
      </c>
      <c r="L53" s="8">
        <f t="shared" si="16"/>
      </c>
      <c r="M53" s="8">
        <f>COUNTIF(E6:E35,"=14")</f>
        <v>0</v>
      </c>
      <c r="N53">
        <f t="shared" si="17"/>
        <v>1.5</v>
      </c>
      <c r="O53">
        <f t="shared" si="18"/>
        <v>27.5</v>
      </c>
    </row>
    <row r="54" spans="9:15" ht="13.5">
      <c r="I54" s="4">
        <f t="shared" si="14"/>
        <v>15</v>
      </c>
      <c r="J54" s="8">
        <f t="shared" si="19"/>
      </c>
      <c r="K54" s="8">
        <f t="shared" si="15"/>
      </c>
      <c r="L54" s="8">
        <f t="shared" si="16"/>
      </c>
      <c r="M54" s="8">
        <f>COUNTIF(E6:E35,"=15")</f>
        <v>0</v>
      </c>
      <c r="N54">
        <f t="shared" si="17"/>
        <v>1.5</v>
      </c>
      <c r="O54">
        <f t="shared" si="18"/>
        <v>27.5</v>
      </c>
    </row>
    <row r="55" spans="9:15" ht="13.5">
      <c r="I55" s="4">
        <f t="shared" si="14"/>
        <v>16</v>
      </c>
      <c r="J55" s="8">
        <f t="shared" si="19"/>
      </c>
      <c r="K55" s="8">
        <f t="shared" si="15"/>
      </c>
      <c r="L55" s="8">
        <f t="shared" si="16"/>
      </c>
      <c r="M55" s="8">
        <f>COUNTIF(E6:E35,"=16")</f>
        <v>0</v>
      </c>
      <c r="N55">
        <f t="shared" si="17"/>
        <v>1.5</v>
      </c>
      <c r="O55">
        <f t="shared" si="18"/>
        <v>27.5</v>
      </c>
    </row>
    <row r="56" spans="9:15" ht="13.5">
      <c r="I56" s="4">
        <f t="shared" si="14"/>
        <v>17</v>
      </c>
      <c r="J56" s="8">
        <f t="shared" si="19"/>
      </c>
      <c r="K56" s="8">
        <f t="shared" si="15"/>
      </c>
      <c r="L56" s="8">
        <f t="shared" si="16"/>
      </c>
      <c r="M56" s="8">
        <f>COUNTIF(E6:E35,"=17")</f>
        <v>0</v>
      </c>
      <c r="N56">
        <f t="shared" si="17"/>
        <v>1.5</v>
      </c>
      <c r="O56">
        <f t="shared" si="18"/>
        <v>27.5</v>
      </c>
    </row>
    <row r="57" spans="9:15" ht="13.5">
      <c r="I57" s="4">
        <f t="shared" si="14"/>
        <v>18</v>
      </c>
      <c r="J57" s="8">
        <f t="shared" si="19"/>
      </c>
      <c r="K57" s="8">
        <f t="shared" si="15"/>
      </c>
      <c r="L57" s="8">
        <f t="shared" si="16"/>
      </c>
      <c r="M57" s="8">
        <f>COUNTIF(E6:E35,"=18")</f>
        <v>0</v>
      </c>
      <c r="N57">
        <f t="shared" si="17"/>
        <v>1.5</v>
      </c>
      <c r="O57">
        <f t="shared" si="18"/>
        <v>27.5</v>
      </c>
    </row>
    <row r="58" spans="9:15" ht="13.5">
      <c r="I58" s="4">
        <f t="shared" si="14"/>
        <v>19</v>
      </c>
      <c r="J58" s="8">
        <f t="shared" si="19"/>
      </c>
      <c r="K58" s="8">
        <f t="shared" si="15"/>
      </c>
      <c r="L58" s="8">
        <f t="shared" si="16"/>
      </c>
      <c r="M58" s="8">
        <f>COUNTIF(E6:E35,"=19")</f>
        <v>0</v>
      </c>
      <c r="N58">
        <f t="shared" si="17"/>
        <v>1.5</v>
      </c>
      <c r="O58">
        <f t="shared" si="18"/>
        <v>27.5</v>
      </c>
    </row>
    <row r="59" spans="9:15" ht="13.5">
      <c r="I59" s="4">
        <f t="shared" si="14"/>
        <v>20</v>
      </c>
      <c r="J59" s="8">
        <f t="shared" si="19"/>
      </c>
      <c r="K59" s="8">
        <f t="shared" si="15"/>
      </c>
      <c r="L59" s="8">
        <f t="shared" si="16"/>
      </c>
      <c r="M59" s="8">
        <f>COUNTIF(E6:E35,"=20")</f>
        <v>0</v>
      </c>
      <c r="N59">
        <f t="shared" si="17"/>
        <v>1.5</v>
      </c>
      <c r="O59">
        <f t="shared" si="18"/>
        <v>27.5</v>
      </c>
    </row>
    <row r="60" spans="9:13" ht="13.5">
      <c r="I60" s="7" t="s">
        <v>13</v>
      </c>
      <c r="J60" s="4"/>
      <c r="K60" s="4"/>
      <c r="L60" s="4"/>
      <c r="M60" s="7">
        <f>SUM(M40:M59)</f>
        <v>30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37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89</v>
      </c>
    </row>
    <row r="2" ht="13.5">
      <c r="K2" s="11" t="s">
        <v>112</v>
      </c>
    </row>
    <row r="3" spans="1:12" ht="13.5">
      <c r="A3" s="14"/>
      <c r="B3" s="14" t="s">
        <v>99</v>
      </c>
      <c r="C3" s="14" t="s">
        <v>100</v>
      </c>
      <c r="D3" s="14" t="s">
        <v>101</v>
      </c>
      <c r="E3" s="14" t="s">
        <v>102</v>
      </c>
      <c r="F3" s="14" t="s">
        <v>103</v>
      </c>
      <c r="H3" s="11" t="s">
        <v>70</v>
      </c>
      <c r="K3" s="20" t="s">
        <v>93</v>
      </c>
      <c r="L3" s="20"/>
    </row>
    <row r="4" spans="1:12" ht="13.5">
      <c r="A4" s="14">
        <v>1</v>
      </c>
      <c r="B4" s="18">
        <f>'ヒストグラム（記入例）'!B6</f>
        <v>19</v>
      </c>
      <c r="C4" s="18">
        <f>'ヒストグラム（記入例）'!D6</f>
        <v>21</v>
      </c>
      <c r="D4" s="14">
        <f aca="true" t="shared" si="0" ref="D4:D33">B4^2</f>
        <v>361</v>
      </c>
      <c r="E4" s="14">
        <f aca="true" t="shared" si="1" ref="E4:E33">C4^2</f>
        <v>441</v>
      </c>
      <c r="F4" s="14">
        <f aca="true" t="shared" si="2" ref="F4:F33">B4*C4</f>
        <v>399</v>
      </c>
      <c r="H4" t="s">
        <v>104</v>
      </c>
      <c r="I4">
        <f>COUNTIF(B4:B33,"&gt;0")</f>
        <v>30</v>
      </c>
      <c r="K4" t="s">
        <v>94</v>
      </c>
      <c r="L4">
        <f>IF(I4=0,"",I4-1)</f>
        <v>29</v>
      </c>
    </row>
    <row r="5" spans="1:12" ht="13.5">
      <c r="A5" s="14">
        <f aca="true" t="shared" si="3" ref="A5:A33">A4+1</f>
        <v>2</v>
      </c>
      <c r="B5" s="18">
        <f>'ヒストグラム（記入例）'!B7</f>
        <v>19.5</v>
      </c>
      <c r="C5" s="18">
        <f>'ヒストグラム（記入例）'!D7</f>
        <v>21.5</v>
      </c>
      <c r="D5" s="14">
        <f t="shared" si="0"/>
        <v>380.25</v>
      </c>
      <c r="E5" s="14">
        <f t="shared" si="1"/>
        <v>462.25</v>
      </c>
      <c r="F5" s="14">
        <f t="shared" si="2"/>
        <v>419.25</v>
      </c>
      <c r="H5" t="s">
        <v>105</v>
      </c>
      <c r="I5">
        <f>IF(I4=0,"",D34-B34^2/I4)</f>
        <v>81.875</v>
      </c>
      <c r="K5" t="s">
        <v>95</v>
      </c>
      <c r="L5">
        <f>IF(I4=0,"",I4-1)</f>
        <v>29</v>
      </c>
    </row>
    <row r="6" spans="1:12" ht="13.5">
      <c r="A6" s="14">
        <f t="shared" si="3"/>
        <v>3</v>
      </c>
      <c r="B6" s="18">
        <f>'ヒストグラム（記入例）'!B8</f>
        <v>20</v>
      </c>
      <c r="C6" s="18">
        <f>'ヒストグラム（記入例）'!D8</f>
        <v>22</v>
      </c>
      <c r="D6" s="14">
        <f t="shared" si="0"/>
        <v>400</v>
      </c>
      <c r="E6" s="14">
        <f t="shared" si="1"/>
        <v>484</v>
      </c>
      <c r="F6" s="14">
        <f t="shared" si="2"/>
        <v>440</v>
      </c>
      <c r="H6" t="s">
        <v>106</v>
      </c>
      <c r="I6">
        <f>IF(I4=0,"",E34-C34^2/I4)</f>
        <v>81.875</v>
      </c>
      <c r="K6" t="s">
        <v>96</v>
      </c>
      <c r="L6">
        <f>IF(I4=0,"",(D34-B34^2/I4)/L4)</f>
        <v>2.8232758620689653</v>
      </c>
    </row>
    <row r="7" spans="1:12" ht="13.5">
      <c r="A7" s="14">
        <f t="shared" si="3"/>
        <v>4</v>
      </c>
      <c r="B7" s="18">
        <f>'ヒストグラム（記入例）'!B9</f>
        <v>20.5</v>
      </c>
      <c r="C7" s="18">
        <f>'ヒストグラム（記入例）'!D9</f>
        <v>22.5</v>
      </c>
      <c r="D7" s="14">
        <f t="shared" si="0"/>
        <v>420.25</v>
      </c>
      <c r="E7" s="14">
        <f t="shared" si="1"/>
        <v>506.25</v>
      </c>
      <c r="F7" s="14">
        <f t="shared" si="2"/>
        <v>461.25</v>
      </c>
      <c r="H7" t="s">
        <v>107</v>
      </c>
      <c r="I7" s="19">
        <f>IF(I4=0,"",F34-B34*C34/I4)</f>
        <v>81.875</v>
      </c>
      <c r="J7" t="s">
        <v>64</v>
      </c>
      <c r="K7" t="s">
        <v>97</v>
      </c>
      <c r="L7">
        <f>IF(I4=0,"",(E34-C34^2/I4)/L5)</f>
        <v>2.8232758620689653</v>
      </c>
    </row>
    <row r="8" spans="1:12" ht="13.5">
      <c r="A8" s="14">
        <f t="shared" si="3"/>
        <v>5</v>
      </c>
      <c r="B8" s="18">
        <f>'ヒストグラム（記入例）'!B10</f>
        <v>21</v>
      </c>
      <c r="C8" s="18">
        <f>'ヒストグラム（記入例）'!D10</f>
        <v>23</v>
      </c>
      <c r="D8" s="14">
        <f t="shared" si="0"/>
        <v>441</v>
      </c>
      <c r="E8" s="14">
        <f t="shared" si="1"/>
        <v>529</v>
      </c>
      <c r="F8" s="14">
        <f t="shared" si="2"/>
        <v>483</v>
      </c>
      <c r="H8" t="s">
        <v>108</v>
      </c>
      <c r="I8">
        <f>IF(I4=0,"",B34/I4)</f>
        <v>22.25</v>
      </c>
      <c r="K8" t="s">
        <v>109</v>
      </c>
      <c r="L8">
        <f>IF(I4=0,"",MAX(L6,L7)/MIN(L6,L7))</f>
        <v>1</v>
      </c>
    </row>
    <row r="9" spans="1:9" ht="13.5">
      <c r="A9" s="14">
        <f t="shared" si="3"/>
        <v>6</v>
      </c>
      <c r="B9" s="18">
        <f>'ヒストグラム（記入例）'!B11</f>
        <v>21.5</v>
      </c>
      <c r="C9" s="18">
        <f>'ヒストグラム（記入例）'!D11</f>
        <v>23.5</v>
      </c>
      <c r="D9" s="14">
        <f t="shared" si="0"/>
        <v>462.25</v>
      </c>
      <c r="E9" s="14">
        <f t="shared" si="1"/>
        <v>552.25</v>
      </c>
      <c r="F9" s="14">
        <f t="shared" si="2"/>
        <v>505.25</v>
      </c>
      <c r="H9" t="s">
        <v>110</v>
      </c>
      <c r="I9">
        <f>IF(I4=0,"",C34/I4)</f>
        <v>24.25</v>
      </c>
    </row>
    <row r="10" spans="1:12" ht="13.5">
      <c r="A10" s="14">
        <f t="shared" si="3"/>
        <v>7</v>
      </c>
      <c r="B10" s="18">
        <f>'ヒストグラム（記入例）'!B12</f>
        <v>22</v>
      </c>
      <c r="C10" s="18">
        <f>'ヒストグラム（記入例）'!D12</f>
        <v>24</v>
      </c>
      <c r="D10" s="14">
        <f t="shared" si="0"/>
        <v>484</v>
      </c>
      <c r="E10" s="14">
        <f t="shared" si="1"/>
        <v>576</v>
      </c>
      <c r="F10" s="14">
        <f t="shared" si="2"/>
        <v>528</v>
      </c>
      <c r="H10" t="s">
        <v>111</v>
      </c>
      <c r="I10" s="19">
        <f>IF(I5="","",I7/I5)</f>
        <v>1</v>
      </c>
      <c r="J10" t="s">
        <v>64</v>
      </c>
      <c r="K10" t="s">
        <v>43</v>
      </c>
      <c r="L10">
        <f>IF(I4=0,"",FINV(0.05,L4,L5))</f>
        <v>1.8608114354760765</v>
      </c>
    </row>
    <row r="11" spans="1:10" ht="13.5">
      <c r="A11" s="14">
        <f t="shared" si="3"/>
        <v>8</v>
      </c>
      <c r="B11" s="18">
        <f>'ヒストグラム（記入例）'!B13</f>
        <v>22.5</v>
      </c>
      <c r="C11" s="18">
        <f>'ヒストグラム（記入例）'!D13</f>
        <v>24.5</v>
      </c>
      <c r="D11" s="14">
        <f t="shared" si="0"/>
        <v>506.25</v>
      </c>
      <c r="E11" s="14">
        <f t="shared" si="1"/>
        <v>600.25</v>
      </c>
      <c r="F11" s="14">
        <f t="shared" si="2"/>
        <v>551.25</v>
      </c>
      <c r="H11" t="s">
        <v>34</v>
      </c>
      <c r="I11" s="19">
        <f>IF(I9="","",I9-I10*I8)</f>
        <v>2</v>
      </c>
      <c r="J11" t="s">
        <v>64</v>
      </c>
    </row>
    <row r="12" spans="1:12" ht="13.5">
      <c r="A12" s="14">
        <f t="shared" si="3"/>
        <v>9</v>
      </c>
      <c r="B12" s="18">
        <f>'ヒストグラム（記入例）'!B14</f>
        <v>23</v>
      </c>
      <c r="C12" s="18">
        <f>'ヒストグラム（記入例）'!D14</f>
        <v>25</v>
      </c>
      <c r="D12" s="14">
        <f t="shared" si="0"/>
        <v>529</v>
      </c>
      <c r="E12" s="14">
        <f t="shared" si="1"/>
        <v>625</v>
      </c>
      <c r="F12" s="14">
        <f t="shared" si="2"/>
        <v>575</v>
      </c>
      <c r="K12" s="11" t="s">
        <v>92</v>
      </c>
      <c r="L12" t="str">
        <f>IF(I4=0,"データ未入力",IF(L8&gt;=L10,"分散に違いあり（有意差あり）","分散に違いはない（有意差なし）"))</f>
        <v>分散に違いはない（有意差なし）</v>
      </c>
    </row>
    <row r="13" spans="1:8" ht="13.5">
      <c r="A13" s="14">
        <f t="shared" si="3"/>
        <v>10</v>
      </c>
      <c r="B13" s="18">
        <f>'ヒストグラム（記入例）'!B15</f>
        <v>23.5</v>
      </c>
      <c r="C13" s="18">
        <f>'ヒストグラム（記入例）'!D15</f>
        <v>25.5</v>
      </c>
      <c r="D13" s="14">
        <f t="shared" si="0"/>
        <v>552.25</v>
      </c>
      <c r="E13" s="14">
        <f t="shared" si="1"/>
        <v>650.25</v>
      </c>
      <c r="F13" s="14">
        <f t="shared" si="2"/>
        <v>599.25</v>
      </c>
      <c r="H13" s="11" t="s">
        <v>69</v>
      </c>
    </row>
    <row r="14" spans="1:9" ht="13.5">
      <c r="A14" s="14">
        <f t="shared" si="3"/>
        <v>11</v>
      </c>
      <c r="B14" s="18">
        <f>'ヒストグラム（記入例）'!B16</f>
        <v>20</v>
      </c>
      <c r="C14" s="18">
        <f>'ヒストグラム（記入例）'!D16</f>
        <v>22</v>
      </c>
      <c r="D14" s="14">
        <f t="shared" si="0"/>
        <v>400</v>
      </c>
      <c r="E14" s="14">
        <f t="shared" si="1"/>
        <v>484</v>
      </c>
      <c r="F14" s="14">
        <f t="shared" si="2"/>
        <v>440</v>
      </c>
      <c r="H14" t="s">
        <v>40</v>
      </c>
      <c r="I14">
        <f>IF(I8="","",I8-I9)</f>
        <v>-2</v>
      </c>
    </row>
    <row r="15" spans="1:9" ht="13.5">
      <c r="A15" s="14">
        <f t="shared" si="3"/>
        <v>12</v>
      </c>
      <c r="B15" s="18">
        <f>'ヒストグラム（記入例）'!B17</f>
        <v>20.5</v>
      </c>
      <c r="C15" s="18">
        <f>'ヒストグラム（記入例）'!D17</f>
        <v>22.5</v>
      </c>
      <c r="D15" s="14">
        <f t="shared" si="0"/>
        <v>420.25</v>
      </c>
      <c r="E15" s="14">
        <f t="shared" si="1"/>
        <v>506.25</v>
      </c>
      <c r="F15" s="14">
        <f t="shared" si="2"/>
        <v>461.25</v>
      </c>
      <c r="H15" t="s">
        <v>57</v>
      </c>
      <c r="I15">
        <f>IF(I4=0,"",I5/(I4-1))</f>
        <v>2.8232758620689653</v>
      </c>
    </row>
    <row r="16" spans="1:9" ht="13.5">
      <c r="A16" s="14">
        <f t="shared" si="3"/>
        <v>13</v>
      </c>
      <c r="B16" s="18">
        <f>'ヒストグラム（記入例）'!B18</f>
        <v>21</v>
      </c>
      <c r="C16" s="18">
        <f>'ヒストグラム（記入例）'!D18</f>
        <v>23</v>
      </c>
      <c r="D16" s="14">
        <f t="shared" si="0"/>
        <v>441</v>
      </c>
      <c r="E16" s="14">
        <f t="shared" si="1"/>
        <v>529</v>
      </c>
      <c r="F16" s="14">
        <f t="shared" si="2"/>
        <v>483</v>
      </c>
      <c r="H16" t="s">
        <v>58</v>
      </c>
      <c r="I16">
        <f>IF(I4=0,"",I6/(I4-1))</f>
        <v>2.8232758620689653</v>
      </c>
    </row>
    <row r="17" spans="1:9" ht="13.5">
      <c r="A17" s="14">
        <f t="shared" si="3"/>
        <v>14</v>
      </c>
      <c r="B17" s="18">
        <f>'ヒストグラム（記入例）'!B19</f>
        <v>21.5</v>
      </c>
      <c r="C17" s="18">
        <f>'ヒストグラム（記入例）'!D19</f>
        <v>23.5</v>
      </c>
      <c r="D17" s="14">
        <f t="shared" si="0"/>
        <v>462.25</v>
      </c>
      <c r="E17" s="14">
        <f t="shared" si="1"/>
        <v>552.25</v>
      </c>
      <c r="F17" s="14">
        <f t="shared" si="2"/>
        <v>505.25</v>
      </c>
      <c r="H17" t="s">
        <v>59</v>
      </c>
      <c r="I17">
        <f>COUNTIF(B4:B33,"&gt;0")</f>
        <v>30</v>
      </c>
    </row>
    <row r="18" spans="1:9" ht="13.5">
      <c r="A18" s="14">
        <f t="shared" si="3"/>
        <v>15</v>
      </c>
      <c r="B18" s="18">
        <f>'ヒストグラム（記入例）'!B20</f>
        <v>22</v>
      </c>
      <c r="C18" s="18">
        <f>'ヒストグラム（記入例）'!D20</f>
        <v>24</v>
      </c>
      <c r="D18" s="14">
        <f t="shared" si="0"/>
        <v>484</v>
      </c>
      <c r="E18" s="14">
        <f t="shared" si="1"/>
        <v>576</v>
      </c>
      <c r="F18" s="14">
        <f t="shared" si="2"/>
        <v>528</v>
      </c>
      <c r="H18" t="s">
        <v>60</v>
      </c>
      <c r="I18">
        <f>COUNTIF(C4:C33,"&gt;0")</f>
        <v>30</v>
      </c>
    </row>
    <row r="19" spans="1:9" ht="13.5">
      <c r="A19" s="14">
        <f t="shared" si="3"/>
        <v>16</v>
      </c>
      <c r="B19" s="18">
        <f>'ヒストグラム（記入例）'!B21</f>
        <v>22.5</v>
      </c>
      <c r="C19" s="18">
        <f>'ヒストグラム（記入例）'!D21</f>
        <v>24.5</v>
      </c>
      <c r="D19" s="14">
        <f t="shared" si="0"/>
        <v>506.25</v>
      </c>
      <c r="E19" s="14">
        <f t="shared" si="1"/>
        <v>600.25</v>
      </c>
      <c r="F19" s="14">
        <f t="shared" si="2"/>
        <v>551.25</v>
      </c>
      <c r="H19" t="s">
        <v>42</v>
      </c>
      <c r="I19">
        <f>IF(I17+I18=0,"",I15/I17+I16/I18)</f>
        <v>0.18821839080459768</v>
      </c>
    </row>
    <row r="20" spans="1:9" ht="13.5">
      <c r="A20" s="14">
        <f t="shared" si="3"/>
        <v>17</v>
      </c>
      <c r="B20" s="18">
        <f>'ヒストグラム（記入例）'!B22</f>
        <v>23</v>
      </c>
      <c r="C20" s="18">
        <f>'ヒストグラム（記入例）'!D22</f>
        <v>25</v>
      </c>
      <c r="D20" s="14">
        <f t="shared" si="0"/>
        <v>529</v>
      </c>
      <c r="E20" s="14">
        <f t="shared" si="1"/>
        <v>625</v>
      </c>
      <c r="F20" s="14">
        <f t="shared" si="2"/>
        <v>575</v>
      </c>
      <c r="H20" t="s">
        <v>41</v>
      </c>
      <c r="I20">
        <f>IF(I19="","",SQRT(I19))</f>
        <v>0.43384143509420314</v>
      </c>
    </row>
    <row r="21" spans="1:9" ht="13.5">
      <c r="A21" s="14">
        <f t="shared" si="3"/>
        <v>18</v>
      </c>
      <c r="B21" s="18">
        <f>'ヒストグラム（記入例）'!B23</f>
        <v>23.5</v>
      </c>
      <c r="C21" s="18">
        <f>'ヒストグラム（記入例）'!D23</f>
        <v>25.5</v>
      </c>
      <c r="D21" s="14">
        <f t="shared" si="0"/>
        <v>552.25</v>
      </c>
      <c r="E21" s="14">
        <f t="shared" si="1"/>
        <v>650.25</v>
      </c>
      <c r="F21" s="14">
        <f t="shared" si="2"/>
        <v>599.25</v>
      </c>
      <c r="H21" t="s">
        <v>61</v>
      </c>
      <c r="I21">
        <f>IF(I20="","",I14/I20)</f>
        <v>-4.609979218710922</v>
      </c>
    </row>
    <row r="22" spans="1:9" ht="13.5">
      <c r="A22" s="14">
        <f t="shared" si="3"/>
        <v>19</v>
      </c>
      <c r="B22" s="18">
        <f>'ヒストグラム（記入例）'!B24</f>
        <v>24</v>
      </c>
      <c r="C22" s="18">
        <f>'ヒストグラム（記入例）'!D24</f>
        <v>26</v>
      </c>
      <c r="D22" s="14">
        <f t="shared" si="0"/>
        <v>576</v>
      </c>
      <c r="E22" s="14">
        <f t="shared" si="1"/>
        <v>676</v>
      </c>
      <c r="F22" s="14">
        <f t="shared" si="2"/>
        <v>624</v>
      </c>
      <c r="H22" t="s">
        <v>79</v>
      </c>
      <c r="I22">
        <f>IF(I14="","",ABS(I14/I20))</f>
        <v>4.609979218710922</v>
      </c>
    </row>
    <row r="23" spans="1:6" ht="13.5">
      <c r="A23" s="14">
        <f t="shared" si="3"/>
        <v>20</v>
      </c>
      <c r="B23" s="18">
        <f>'ヒストグラム（記入例）'!B25</f>
        <v>24.5</v>
      </c>
      <c r="C23" s="18">
        <f>'ヒストグラム（記入例）'!D25</f>
        <v>26.5</v>
      </c>
      <c r="D23" s="14">
        <f t="shared" si="0"/>
        <v>600.25</v>
      </c>
      <c r="E23" s="14">
        <f t="shared" si="1"/>
        <v>702.25</v>
      </c>
      <c r="F23" s="14">
        <f t="shared" si="2"/>
        <v>649.25</v>
      </c>
    </row>
    <row r="24" spans="1:9" ht="13.5">
      <c r="A24" s="14">
        <f t="shared" si="3"/>
        <v>21</v>
      </c>
      <c r="B24" s="18">
        <f>'ヒストグラム（記入例）'!B26</f>
        <v>21</v>
      </c>
      <c r="C24" s="18">
        <f>'ヒストグラム（記入例）'!D26</f>
        <v>23</v>
      </c>
      <c r="D24" s="14">
        <f t="shared" si="0"/>
        <v>441</v>
      </c>
      <c r="E24" s="14">
        <f t="shared" si="1"/>
        <v>529</v>
      </c>
      <c r="F24" s="14">
        <f t="shared" si="2"/>
        <v>483</v>
      </c>
      <c r="H24" t="s">
        <v>43</v>
      </c>
      <c r="I24">
        <f>IF(I4=0,"",ROUND(TINV(0.05,I17+I18-2),3))</f>
        <v>2.002</v>
      </c>
    </row>
    <row r="25" spans="1:6" ht="13.5">
      <c r="A25" s="14">
        <f t="shared" si="3"/>
        <v>22</v>
      </c>
      <c r="B25" s="18">
        <f>'ヒストグラム（記入例）'!B27</f>
        <v>21.5</v>
      </c>
      <c r="C25" s="18">
        <f>'ヒストグラム（記入例）'!D27</f>
        <v>23.5</v>
      </c>
      <c r="D25" s="14">
        <f t="shared" si="0"/>
        <v>462.25</v>
      </c>
      <c r="E25" s="14">
        <f t="shared" si="1"/>
        <v>552.25</v>
      </c>
      <c r="F25" s="14">
        <f t="shared" si="2"/>
        <v>505.25</v>
      </c>
    </row>
    <row r="26" spans="1:9" ht="13.5">
      <c r="A26" s="14">
        <f t="shared" si="3"/>
        <v>23</v>
      </c>
      <c r="B26" s="18">
        <f>'ヒストグラム（記入例）'!B28</f>
        <v>22</v>
      </c>
      <c r="C26" s="18">
        <f>'ヒストグラム（記入例）'!D28</f>
        <v>24</v>
      </c>
      <c r="D26" s="14">
        <f t="shared" si="0"/>
        <v>484</v>
      </c>
      <c r="E26" s="14">
        <f t="shared" si="1"/>
        <v>576</v>
      </c>
      <c r="F26" s="14">
        <f t="shared" si="2"/>
        <v>528</v>
      </c>
      <c r="H26" s="11" t="s">
        <v>92</v>
      </c>
      <c r="I26" t="str">
        <f>IF(I4=0,"データ未入力",IF(I22&gt;=I24,"平均に違いあり（有意差あり）","平均に違いはない（有意差なし）"))</f>
        <v>平均に違いあり（有意差あり）</v>
      </c>
    </row>
    <row r="27" spans="1:6" ht="13.5">
      <c r="A27" s="14">
        <f t="shared" si="3"/>
        <v>24</v>
      </c>
      <c r="B27" s="18">
        <f>'ヒストグラム（記入例）'!B29</f>
        <v>22.5</v>
      </c>
      <c r="C27" s="18">
        <f>'ヒストグラム（記入例）'!D29</f>
        <v>24.5</v>
      </c>
      <c r="D27" s="14">
        <f t="shared" si="0"/>
        <v>506.25</v>
      </c>
      <c r="E27" s="14">
        <f t="shared" si="1"/>
        <v>600.25</v>
      </c>
      <c r="F27" s="14">
        <f t="shared" si="2"/>
        <v>551.25</v>
      </c>
    </row>
    <row r="28" spans="1:8" ht="13.5">
      <c r="A28" s="14">
        <f t="shared" si="3"/>
        <v>25</v>
      </c>
      <c r="B28" s="18">
        <f>'ヒストグラム（記入例）'!B30</f>
        <v>23</v>
      </c>
      <c r="C28" s="18">
        <f>'ヒストグラム（記入例）'!D30</f>
        <v>25</v>
      </c>
      <c r="D28" s="14">
        <f t="shared" si="0"/>
        <v>529</v>
      </c>
      <c r="E28" s="14">
        <f t="shared" si="1"/>
        <v>625</v>
      </c>
      <c r="F28" s="14">
        <f t="shared" si="2"/>
        <v>575</v>
      </c>
      <c r="H28" s="11" t="s">
        <v>68</v>
      </c>
    </row>
    <row r="29" spans="1:8" ht="13.5">
      <c r="A29" s="14">
        <f t="shared" si="3"/>
        <v>26</v>
      </c>
      <c r="B29" s="18">
        <f>'ヒストグラム（記入例）'!B31</f>
        <v>23.5</v>
      </c>
      <c r="C29" s="18">
        <f>'ヒストグラム（記入例）'!D31</f>
        <v>25.5</v>
      </c>
      <c r="D29" s="14">
        <f t="shared" si="0"/>
        <v>552.25</v>
      </c>
      <c r="E29" s="14">
        <f t="shared" si="1"/>
        <v>650.25</v>
      </c>
      <c r="F29" s="14">
        <f t="shared" si="2"/>
        <v>599.25</v>
      </c>
      <c r="H29" t="s">
        <v>72</v>
      </c>
    </row>
    <row r="30" spans="1:8" ht="13.5">
      <c r="A30" s="14">
        <f t="shared" si="3"/>
        <v>27</v>
      </c>
      <c r="B30" s="18">
        <f>'ヒストグラム（記入例）'!B32</f>
        <v>24</v>
      </c>
      <c r="C30" s="18">
        <f>'ヒストグラム（記入例）'!D32</f>
        <v>26</v>
      </c>
      <c r="D30" s="14">
        <f t="shared" si="0"/>
        <v>576</v>
      </c>
      <c r="E30" s="14">
        <f t="shared" si="1"/>
        <v>676</v>
      </c>
      <c r="F30" s="14">
        <f t="shared" si="2"/>
        <v>624</v>
      </c>
      <c r="H30" t="s">
        <v>71</v>
      </c>
    </row>
    <row r="31" spans="1:8" ht="13.5">
      <c r="A31" s="14">
        <f t="shared" si="3"/>
        <v>28</v>
      </c>
      <c r="B31" s="18">
        <f>'ヒストグラム（記入例）'!B33</f>
        <v>24.5</v>
      </c>
      <c r="C31" s="18">
        <f>'ヒストグラム（記入例）'!D33</f>
        <v>26.5</v>
      </c>
      <c r="D31" s="14">
        <f t="shared" si="0"/>
        <v>600.25</v>
      </c>
      <c r="E31" s="14">
        <f t="shared" si="1"/>
        <v>702.25</v>
      </c>
      <c r="F31" s="14">
        <f t="shared" si="2"/>
        <v>649.25</v>
      </c>
      <c r="H31" t="s">
        <v>66</v>
      </c>
    </row>
    <row r="32" spans="1:8" ht="13.5">
      <c r="A32" s="14">
        <f t="shared" si="3"/>
        <v>29</v>
      </c>
      <c r="B32" s="18">
        <f>'ヒストグラム（記入例）'!B34</f>
        <v>25</v>
      </c>
      <c r="C32" s="18">
        <f>'ヒストグラム（記入例）'!D34</f>
        <v>27</v>
      </c>
      <c r="D32" s="14">
        <f t="shared" si="0"/>
        <v>625</v>
      </c>
      <c r="E32" s="14">
        <f t="shared" si="1"/>
        <v>729</v>
      </c>
      <c r="F32" s="14">
        <f t="shared" si="2"/>
        <v>675</v>
      </c>
      <c r="H32" t="s">
        <v>73</v>
      </c>
    </row>
    <row r="33" spans="1:8" ht="13.5">
      <c r="A33" s="14">
        <f t="shared" si="3"/>
        <v>30</v>
      </c>
      <c r="B33" s="18">
        <f>'ヒストグラム（記入例）'!B35</f>
        <v>25.5</v>
      </c>
      <c r="C33" s="18">
        <f>'ヒストグラム（記入例）'!D35</f>
        <v>27.5</v>
      </c>
      <c r="D33" s="14">
        <f t="shared" si="0"/>
        <v>650.25</v>
      </c>
      <c r="E33" s="14">
        <f t="shared" si="1"/>
        <v>756.25</v>
      </c>
      <c r="F33" s="14">
        <f t="shared" si="2"/>
        <v>701.25</v>
      </c>
      <c r="H33" t="s">
        <v>67</v>
      </c>
    </row>
    <row r="34" spans="1:8" ht="13.5">
      <c r="A34" s="14" t="s">
        <v>13</v>
      </c>
      <c r="B34" s="14">
        <f>SUM(B4:B33)</f>
        <v>667.5</v>
      </c>
      <c r="C34" s="14">
        <f>SUM(C4:C33)</f>
        <v>727.5</v>
      </c>
      <c r="D34" s="14">
        <f>SUM(D4:D33)</f>
        <v>14933.75</v>
      </c>
      <c r="E34" s="14">
        <f>SUM(E4:E33)</f>
        <v>17723.75</v>
      </c>
      <c r="F34" s="14">
        <f>SUM(F4:F33)</f>
        <v>16268.75</v>
      </c>
      <c r="H34" t="s">
        <v>77</v>
      </c>
    </row>
    <row r="35" spans="1:3" ht="13.5">
      <c r="A35" t="s">
        <v>75</v>
      </c>
      <c r="B35">
        <f>AVERAGE(B4:B33)</f>
        <v>22.25</v>
      </c>
      <c r="C35">
        <f>AVERAGE(C4:C33)</f>
        <v>24.25</v>
      </c>
    </row>
    <row r="36" spans="1:3" ht="13.5">
      <c r="A36" t="s">
        <v>74</v>
      </c>
      <c r="B36">
        <f>STDEV(B4:B33)</f>
        <v>1.6802606530145747</v>
      </c>
      <c r="C36">
        <f>STDEV(C4:C33)</f>
        <v>1.6802606530145747</v>
      </c>
    </row>
    <row r="37" spans="1:3" ht="13.5">
      <c r="A37" t="s">
        <v>80</v>
      </c>
      <c r="B37">
        <f>B36^2</f>
        <v>2.823275862068965</v>
      </c>
      <c r="C37">
        <f>C36^2</f>
        <v>2.823275862068965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inaba</cp:lastModifiedBy>
  <cp:lastPrinted>2007-01-11T22:54:14Z</cp:lastPrinted>
  <dcterms:created xsi:type="dcterms:W3CDTF">2007-01-11T03:58:52Z</dcterms:created>
  <dcterms:modified xsi:type="dcterms:W3CDTF">2016-12-08T12:55:08Z</dcterms:modified>
  <cp:category/>
  <cp:version/>
  <cp:contentType/>
  <cp:contentStatus/>
</cp:coreProperties>
</file>